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815" firstSheet="2" activeTab="10"/>
  </bookViews>
  <sheets>
    <sheet name="T2_2019" sheetId="1" r:id="rId1"/>
    <sheet name="T3_2019" sheetId="4" r:id="rId2"/>
    <sheet name="T4_2019" sheetId="2" r:id="rId3"/>
    <sheet name="T5_2019" sheetId="5" r:id="rId4"/>
    <sheet name="T6_2019" sheetId="3" r:id="rId5"/>
    <sheet name="T7_2019" sheetId="6" r:id="rId6"/>
    <sheet name="T8_2019" sheetId="7" r:id="rId7"/>
    <sheet name="T9_2019" sheetId="8" r:id="rId8"/>
    <sheet name="T10_2019" sheetId="10" r:id="rId9"/>
    <sheet name="T11_2019 " sheetId="12" r:id="rId10"/>
    <sheet name="T12_2019" sheetId="13" r:id="rId11"/>
    <sheet name="Sheet1" sheetId="11" r:id="rId12"/>
  </sheets>
  <definedNames>
    <definedName name="_xlnm.Print_Titles" localSheetId="8">T10_2019!$7:$9</definedName>
    <definedName name="_xlnm.Print_Titles" localSheetId="9">'T11_2019 '!$7:$9</definedName>
    <definedName name="_xlnm.Print_Titles" localSheetId="10">T12_2019!$7:$9</definedName>
    <definedName name="_xlnm.Print_Titles" localSheetId="0">T2_2019!$7:$9</definedName>
    <definedName name="_xlnm.Print_Titles" localSheetId="1">T3_2019!$7:$9</definedName>
    <definedName name="_xlnm.Print_Titles" localSheetId="2">T4_2019!$7:$9</definedName>
    <definedName name="_xlnm.Print_Titles" localSheetId="3">T5_2019!$7:$9</definedName>
    <definedName name="_xlnm.Print_Titles" localSheetId="4">T6_2019!$7:$9</definedName>
    <definedName name="_xlnm.Print_Titles" localSheetId="5">T7_2019!$7:$9</definedName>
    <definedName name="_xlnm.Print_Titles" localSheetId="6">T8_2019!$7:$9</definedName>
    <definedName name="_xlnm.Print_Titles" localSheetId="7">T9_2019!$7:$9</definedName>
  </definedNames>
  <calcPr calcId="144525"/>
</workbook>
</file>

<file path=xl/calcChain.xml><?xml version="1.0" encoding="utf-8"?>
<calcChain xmlns="http://schemas.openxmlformats.org/spreadsheetml/2006/main">
  <c r="Y11" i="13" l="1"/>
  <c r="P52" i="13"/>
  <c r="G52" i="13"/>
  <c r="P51" i="13"/>
  <c r="G51" i="13"/>
  <c r="P50" i="13"/>
  <c r="G50" i="13"/>
  <c r="P49" i="13"/>
  <c r="G49" i="13"/>
  <c r="P47" i="13"/>
  <c r="G47" i="13"/>
  <c r="P46" i="13"/>
  <c r="G46" i="13"/>
  <c r="P45" i="13"/>
  <c r="G45" i="13"/>
  <c r="R44" i="13"/>
  <c r="P44" i="13"/>
  <c r="I44" i="13"/>
  <c r="P42" i="13"/>
  <c r="P41" i="13"/>
  <c r="P40" i="13"/>
  <c r="P39" i="13"/>
  <c r="R38" i="13"/>
  <c r="P38" i="13"/>
  <c r="I38" i="13"/>
  <c r="P37" i="13"/>
  <c r="R36" i="13" l="1"/>
  <c r="P36" i="13"/>
  <c r="I36" i="13"/>
  <c r="P35" i="13"/>
  <c r="P34" i="13"/>
  <c r="P26" i="13"/>
  <c r="G26" i="13"/>
  <c r="N24" i="13"/>
  <c r="R24" i="13" s="1"/>
  <c r="E24" i="13"/>
  <c r="G24" i="13" s="1"/>
  <c r="P25" i="13"/>
  <c r="G25" i="13"/>
  <c r="R23" i="13"/>
  <c r="P23" i="13"/>
  <c r="I23" i="13"/>
  <c r="G23" i="13"/>
  <c r="J23" i="13" s="1"/>
  <c r="K23" i="13" s="1"/>
  <c r="P22" i="13"/>
  <c r="N22" i="13"/>
  <c r="W22" i="13" s="1"/>
  <c r="G22" i="13"/>
  <c r="E22" i="13"/>
  <c r="I22" i="13"/>
  <c r="W20" i="13"/>
  <c r="P21" i="13"/>
  <c r="N21" i="13"/>
  <c r="W21" i="13" s="1"/>
  <c r="E21" i="13"/>
  <c r="G21" i="13" s="1"/>
  <c r="Y21" i="13" s="1"/>
  <c r="P20" i="13"/>
  <c r="G20" i="13"/>
  <c r="N19" i="13"/>
  <c r="W19" i="13" s="1"/>
  <c r="E19" i="13"/>
  <c r="N18" i="13"/>
  <c r="R18" i="13" s="1"/>
  <c r="E18" i="13"/>
  <c r="I18" i="13" s="1"/>
  <c r="P17" i="13"/>
  <c r="N17" i="13"/>
  <c r="W17" i="13" s="1"/>
  <c r="R17" i="13"/>
  <c r="E17" i="13"/>
  <c r="I17" i="13" s="1"/>
  <c r="P16" i="13"/>
  <c r="N16" i="13"/>
  <c r="W16" i="13" s="1"/>
  <c r="G16" i="13"/>
  <c r="E16" i="13"/>
  <c r="N15" i="13"/>
  <c r="E15" i="13"/>
  <c r="W15" i="13" s="1"/>
  <c r="N14" i="13"/>
  <c r="W14" i="13" s="1"/>
  <c r="E14" i="13"/>
  <c r="W13" i="13"/>
  <c r="G13" i="13"/>
  <c r="N13" i="13"/>
  <c r="P13" i="13" s="1"/>
  <c r="R13" i="13"/>
  <c r="E13" i="13"/>
  <c r="I13" i="13" s="1"/>
  <c r="P12" i="13"/>
  <c r="N12" i="13"/>
  <c r="G12" i="13"/>
  <c r="E12" i="13"/>
  <c r="AC59" i="13"/>
  <c r="AB59" i="13"/>
  <c r="AA59" i="13"/>
  <c r="Z59" i="13"/>
  <c r="Y59" i="13"/>
  <c r="X59" i="13"/>
  <c r="W59" i="13"/>
  <c r="V59" i="13"/>
  <c r="U59" i="13"/>
  <c r="T59" i="13"/>
  <c r="S59" i="13"/>
  <c r="R59" i="13"/>
  <c r="Q59" i="13"/>
  <c r="P59" i="13"/>
  <c r="O59" i="13"/>
  <c r="N59" i="13"/>
  <c r="M59" i="13"/>
  <c r="L59" i="13"/>
  <c r="I59" i="13"/>
  <c r="H59" i="13"/>
  <c r="G59" i="13"/>
  <c r="F59" i="13"/>
  <c r="E59" i="13"/>
  <c r="D59" i="13"/>
  <c r="AE57" i="13"/>
  <c r="AD57" i="13"/>
  <c r="AC57" i="13"/>
  <c r="AB57" i="13"/>
  <c r="AB56" i="13" s="1"/>
  <c r="AA57" i="13"/>
  <c r="AA56" i="13" s="1"/>
  <c r="Z57" i="13"/>
  <c r="Y57" i="13"/>
  <c r="X57" i="13"/>
  <c r="W57" i="13"/>
  <c r="W56" i="13" s="1"/>
  <c r="V57" i="13"/>
  <c r="V56" i="13" s="1"/>
  <c r="U57" i="13"/>
  <c r="T57" i="13"/>
  <c r="T56" i="13" s="1"/>
  <c r="S57" i="13"/>
  <c r="S56" i="13" s="1"/>
  <c r="R57" i="13"/>
  <c r="Q57" i="13"/>
  <c r="P57" i="13"/>
  <c r="O57" i="13"/>
  <c r="O56" i="13" s="1"/>
  <c r="N57" i="13"/>
  <c r="N56" i="13" s="1"/>
  <c r="M57" i="13"/>
  <c r="L57" i="13"/>
  <c r="L56" i="13" s="1"/>
  <c r="K57" i="13"/>
  <c r="J57" i="13"/>
  <c r="I57" i="13"/>
  <c r="H57" i="13"/>
  <c r="H56" i="13" s="1"/>
  <c r="G57" i="13"/>
  <c r="G56" i="13" s="1"/>
  <c r="F57" i="13"/>
  <c r="E57" i="13"/>
  <c r="D57" i="13"/>
  <c r="Z56" i="13"/>
  <c r="Y56" i="13"/>
  <c r="X56" i="13"/>
  <c r="U56" i="13"/>
  <c r="R56" i="13"/>
  <c r="Q56" i="13"/>
  <c r="P56" i="13"/>
  <c r="M56" i="13"/>
  <c r="I56" i="13"/>
  <c r="F56" i="13"/>
  <c r="E56" i="13"/>
  <c r="D56" i="13"/>
  <c r="V55" i="13"/>
  <c r="S55" i="13"/>
  <c r="T55" i="13" s="1"/>
  <c r="J55" i="13"/>
  <c r="K55" i="13" s="1"/>
  <c r="Y55" i="13"/>
  <c r="Y54" i="13"/>
  <c r="V54" i="13"/>
  <c r="S54" i="13"/>
  <c r="T54" i="13" s="1"/>
  <c r="Y53" i="13"/>
  <c r="V53" i="13"/>
  <c r="S53" i="13"/>
  <c r="T53" i="13" s="1"/>
  <c r="AB53" i="13"/>
  <c r="J53" i="13"/>
  <c r="K53" i="13" s="1"/>
  <c r="Y52" i="13"/>
  <c r="V52" i="13"/>
  <c r="R52" i="13"/>
  <c r="S52" i="13" s="1"/>
  <c r="T52" i="13" s="1"/>
  <c r="I52" i="13"/>
  <c r="J52" i="13" s="1"/>
  <c r="K52" i="13" s="1"/>
  <c r="Y51" i="13"/>
  <c r="V51" i="13"/>
  <c r="R51" i="13"/>
  <c r="S51" i="13" s="1"/>
  <c r="T51" i="13" s="1"/>
  <c r="I51" i="13"/>
  <c r="J51" i="13" s="1"/>
  <c r="K51" i="13" s="1"/>
  <c r="Y50" i="13"/>
  <c r="V50" i="13"/>
  <c r="R50" i="13"/>
  <c r="I50" i="13"/>
  <c r="J50" i="13" s="1"/>
  <c r="K50" i="13" s="1"/>
  <c r="Y49" i="13"/>
  <c r="V49" i="13"/>
  <c r="R49" i="13"/>
  <c r="S49" i="13" s="1"/>
  <c r="T49" i="13" s="1"/>
  <c r="I49" i="13"/>
  <c r="V48" i="13"/>
  <c r="R48" i="13"/>
  <c r="AB48" i="13" s="1"/>
  <c r="P48" i="13"/>
  <c r="Y48" i="13" s="1"/>
  <c r="I48" i="13"/>
  <c r="G48" i="13"/>
  <c r="J48" i="13" s="1"/>
  <c r="K48" i="13" s="1"/>
  <c r="V47" i="13"/>
  <c r="R47" i="13"/>
  <c r="I47" i="13"/>
  <c r="AB47" i="13" s="1"/>
  <c r="V46" i="13"/>
  <c r="R46" i="13"/>
  <c r="I46" i="13"/>
  <c r="J46" i="13" s="1"/>
  <c r="K46" i="13" s="1"/>
  <c r="Y45" i="13"/>
  <c r="V45" i="13"/>
  <c r="R45" i="13"/>
  <c r="S45" i="13" s="1"/>
  <c r="T45" i="13" s="1"/>
  <c r="I45" i="13"/>
  <c r="J45" i="13" s="1"/>
  <c r="K45" i="13" s="1"/>
  <c r="AB44" i="13"/>
  <c r="Y44" i="13"/>
  <c r="V44" i="13"/>
  <c r="S44" i="13"/>
  <c r="T44" i="13" s="1"/>
  <c r="J44" i="13"/>
  <c r="K44" i="13" s="1"/>
  <c r="V43" i="13"/>
  <c r="R43" i="13"/>
  <c r="P43" i="13"/>
  <c r="I43" i="13"/>
  <c r="AB43" i="13" s="1"/>
  <c r="J43" i="13"/>
  <c r="K43" i="13" s="1"/>
  <c r="V42" i="13"/>
  <c r="R42" i="13"/>
  <c r="S42" i="13" s="1"/>
  <c r="T42" i="13" s="1"/>
  <c r="I42" i="13"/>
  <c r="Y42" i="13"/>
  <c r="V41" i="13"/>
  <c r="R41" i="13"/>
  <c r="S41" i="13"/>
  <c r="T41" i="13" s="1"/>
  <c r="I41" i="13"/>
  <c r="J41" i="13" s="1"/>
  <c r="K41" i="13" s="1"/>
  <c r="Y41" i="13"/>
  <c r="V40" i="13"/>
  <c r="R40" i="13"/>
  <c r="S40" i="13" s="1"/>
  <c r="T40" i="13" s="1"/>
  <c r="I40" i="13"/>
  <c r="Y40" i="13"/>
  <c r="V39" i="13"/>
  <c r="R39" i="13"/>
  <c r="I39" i="13"/>
  <c r="AB39" i="13" s="1"/>
  <c r="V38" i="13"/>
  <c r="J38" i="13"/>
  <c r="K38" i="13" s="1"/>
  <c r="V37" i="13"/>
  <c r="R37" i="13"/>
  <c r="S37" i="13" s="1"/>
  <c r="T37" i="13" s="1"/>
  <c r="I37" i="13"/>
  <c r="J37" i="13" s="1"/>
  <c r="K37" i="13" s="1"/>
  <c r="Y37" i="13"/>
  <c r="V36" i="13"/>
  <c r="V35" i="13"/>
  <c r="R35" i="13"/>
  <c r="I35" i="13"/>
  <c r="J35" i="13"/>
  <c r="K35" i="13" s="1"/>
  <c r="V34" i="13"/>
  <c r="R34" i="13"/>
  <c r="I34" i="13"/>
  <c r="V33" i="13"/>
  <c r="I33" i="13"/>
  <c r="G33" i="13"/>
  <c r="J33" i="13" s="1"/>
  <c r="K33" i="13" s="1"/>
  <c r="V32" i="13"/>
  <c r="R32" i="13"/>
  <c r="AB32" i="13" s="1"/>
  <c r="I32" i="13"/>
  <c r="G32" i="13"/>
  <c r="V31" i="13"/>
  <c r="R31" i="13"/>
  <c r="I31" i="13"/>
  <c r="G31" i="13"/>
  <c r="V30" i="13"/>
  <c r="R30" i="13"/>
  <c r="I30" i="13"/>
  <c r="G30" i="13"/>
  <c r="J30" i="13" s="1"/>
  <c r="K30" i="13" s="1"/>
  <c r="W29" i="13"/>
  <c r="W27" i="13" s="1"/>
  <c r="V29" i="13"/>
  <c r="R29" i="13"/>
  <c r="I29" i="13"/>
  <c r="G29" i="13"/>
  <c r="X28" i="13"/>
  <c r="V28" i="13"/>
  <c r="R28" i="13"/>
  <c r="S28" i="13"/>
  <c r="I28" i="13"/>
  <c r="AB28" i="13" s="1"/>
  <c r="G28" i="13"/>
  <c r="J28" i="13" s="1"/>
  <c r="K28" i="13" s="1"/>
  <c r="AA27" i="13"/>
  <c r="Z27" i="13"/>
  <c r="X27" i="13"/>
  <c r="U27" i="13"/>
  <c r="Q27" i="13"/>
  <c r="O27" i="13"/>
  <c r="N27" i="13"/>
  <c r="M27" i="13"/>
  <c r="L27" i="13"/>
  <c r="H27" i="13"/>
  <c r="H10" i="13" s="1"/>
  <c r="F27" i="13"/>
  <c r="E27" i="13"/>
  <c r="D27" i="13"/>
  <c r="V26" i="13"/>
  <c r="R26" i="13"/>
  <c r="S26" i="13"/>
  <c r="T26" i="13" s="1"/>
  <c r="I26" i="13"/>
  <c r="J26" i="13" s="1"/>
  <c r="K26" i="13" s="1"/>
  <c r="V25" i="13"/>
  <c r="I25" i="13"/>
  <c r="V24" i="13"/>
  <c r="I24" i="13"/>
  <c r="AB23" i="13"/>
  <c r="V23" i="13"/>
  <c r="V22" i="13"/>
  <c r="R22" i="13"/>
  <c r="V21" i="13"/>
  <c r="R21" i="13"/>
  <c r="I21" i="13"/>
  <c r="V20" i="13"/>
  <c r="R20" i="13"/>
  <c r="I20" i="13"/>
  <c r="V19" i="13"/>
  <c r="R19" i="13"/>
  <c r="P19" i="13"/>
  <c r="I19" i="13"/>
  <c r="AB19" i="13" s="1"/>
  <c r="G19" i="13"/>
  <c r="V18" i="13"/>
  <c r="V17" i="13"/>
  <c r="V16" i="13"/>
  <c r="R16" i="13"/>
  <c r="S16" i="13" s="1"/>
  <c r="T16" i="13" s="1"/>
  <c r="I16" i="13"/>
  <c r="V15" i="13"/>
  <c r="V14" i="13"/>
  <c r="V13" i="13"/>
  <c r="X12" i="13"/>
  <c r="X11" i="13" s="1"/>
  <c r="X10" i="13" s="1"/>
  <c r="V12" i="13"/>
  <c r="I12" i="13"/>
  <c r="AA11" i="13"/>
  <c r="Z11" i="13"/>
  <c r="Z10" i="13" s="1"/>
  <c r="U11" i="13"/>
  <c r="Q11" i="13"/>
  <c r="Q10" i="13" s="1"/>
  <c r="O11" i="13"/>
  <c r="M11" i="13"/>
  <c r="L11" i="13"/>
  <c r="L10" i="13" s="1"/>
  <c r="H11" i="13"/>
  <c r="F11" i="13"/>
  <c r="D11" i="13"/>
  <c r="AA10" i="13"/>
  <c r="AC48" i="13" l="1"/>
  <c r="AD48" i="13" s="1"/>
  <c r="AB35" i="13"/>
  <c r="J39" i="13"/>
  <c r="K39" i="13" s="1"/>
  <c r="AC44" i="13"/>
  <c r="AD44" i="13" s="1"/>
  <c r="J47" i="13"/>
  <c r="K47" i="13" s="1"/>
  <c r="AC56" i="13"/>
  <c r="G17" i="13"/>
  <c r="G18" i="13"/>
  <c r="P18" i="13"/>
  <c r="P24" i="13"/>
  <c r="AB40" i="13"/>
  <c r="AB45" i="13"/>
  <c r="S48" i="13"/>
  <c r="T48" i="13" s="1"/>
  <c r="W18" i="13"/>
  <c r="Y23" i="13"/>
  <c r="J25" i="13"/>
  <c r="K25" i="13" s="1"/>
  <c r="S34" i="13"/>
  <c r="T34" i="13" s="1"/>
  <c r="AB36" i="13"/>
  <c r="U10" i="13"/>
  <c r="AB54" i="13"/>
  <c r="AC54" i="13"/>
  <c r="AD54" i="13" s="1"/>
  <c r="AB52" i="13"/>
  <c r="AC52" i="13" s="1"/>
  <c r="AD52" i="13" s="1"/>
  <c r="AB49" i="13"/>
  <c r="J49" i="13"/>
  <c r="K49" i="13" s="1"/>
  <c r="AC49" i="13"/>
  <c r="AD49" i="13" s="1"/>
  <c r="AB46" i="13"/>
  <c r="J40" i="13"/>
  <c r="K40" i="13" s="1"/>
  <c r="AC40" i="13"/>
  <c r="AD40" i="13" s="1"/>
  <c r="M10" i="13"/>
  <c r="F10" i="13"/>
  <c r="D10" i="13"/>
  <c r="AB38" i="13"/>
  <c r="AB37" i="13"/>
  <c r="S36" i="13"/>
  <c r="T36" i="13" s="1"/>
  <c r="Y36" i="13"/>
  <c r="AC36" i="13" s="1"/>
  <c r="AD36" i="13" s="1"/>
  <c r="J36" i="13"/>
  <c r="K36" i="13" s="1"/>
  <c r="O10" i="13"/>
  <c r="AB33" i="13"/>
  <c r="S33" i="13"/>
  <c r="T33" i="13" s="1"/>
  <c r="Y32" i="13"/>
  <c r="AC32" i="13"/>
  <c r="AD32" i="13" s="1"/>
  <c r="J32" i="13"/>
  <c r="K32" i="13" s="1"/>
  <c r="AB31" i="13"/>
  <c r="J31" i="13"/>
  <c r="K31" i="13" s="1"/>
  <c r="S30" i="13"/>
  <c r="T30" i="13" s="1"/>
  <c r="V27" i="13"/>
  <c r="R27" i="13"/>
  <c r="Y28" i="13"/>
  <c r="AC28" i="13" s="1"/>
  <c r="I27" i="13"/>
  <c r="AB26" i="13"/>
  <c r="Y26" i="13"/>
  <c r="AC26" i="13" s="1"/>
  <c r="AD26" i="13" s="1"/>
  <c r="AB24" i="13"/>
  <c r="W24" i="13"/>
  <c r="Y24" i="13"/>
  <c r="S23" i="13"/>
  <c r="T23" i="13" s="1"/>
  <c r="AC23" i="13"/>
  <c r="AD23" i="13" s="1"/>
  <c r="J22" i="13"/>
  <c r="K22" i="13" s="1"/>
  <c r="AB22" i="13"/>
  <c r="S21" i="13"/>
  <c r="T21" i="13" s="1"/>
  <c r="S20" i="13"/>
  <c r="T20" i="13" s="1"/>
  <c r="Y20" i="13"/>
  <c r="J20" i="13"/>
  <c r="K20" i="13" s="1"/>
  <c r="AB20" i="13"/>
  <c r="S19" i="13"/>
  <c r="T19" i="13" s="1"/>
  <c r="J19" i="13"/>
  <c r="K19" i="13" s="1"/>
  <c r="Y19" i="13"/>
  <c r="AC19" i="13" s="1"/>
  <c r="AD19" i="13" s="1"/>
  <c r="AB18" i="13"/>
  <c r="J18" i="13"/>
  <c r="K18" i="13" s="1"/>
  <c r="S17" i="13"/>
  <c r="T17" i="13" s="1"/>
  <c r="Y17" i="13"/>
  <c r="Y16" i="13"/>
  <c r="AB16" i="13"/>
  <c r="J16" i="13"/>
  <c r="K16" i="13" s="1"/>
  <c r="S15" i="13"/>
  <c r="T15" i="13" s="1"/>
  <c r="AB15" i="13"/>
  <c r="J15" i="13"/>
  <c r="K15" i="13" s="1"/>
  <c r="Y14" i="13"/>
  <c r="J14" i="13"/>
  <c r="K14" i="13" s="1"/>
  <c r="AB14" i="13"/>
  <c r="E11" i="13"/>
  <c r="E10" i="13" s="1"/>
  <c r="S13" i="13"/>
  <c r="T13" i="13" s="1"/>
  <c r="Y13" i="13"/>
  <c r="I11" i="13"/>
  <c r="Y12" i="13"/>
  <c r="Y18" i="13"/>
  <c r="S18" i="13"/>
  <c r="T18" i="13" s="1"/>
  <c r="S39" i="13"/>
  <c r="T39" i="13" s="1"/>
  <c r="Y39" i="13"/>
  <c r="AC39" i="13" s="1"/>
  <c r="AD39" i="13" s="1"/>
  <c r="S47" i="13"/>
  <c r="T47" i="13" s="1"/>
  <c r="Y47" i="13"/>
  <c r="AC47" i="13" s="1"/>
  <c r="AD47" i="13" s="1"/>
  <c r="J12" i="13"/>
  <c r="AB13" i="13"/>
  <c r="AB17" i="13"/>
  <c r="AB21" i="13"/>
  <c r="AC21" i="13" s="1"/>
  <c r="AD21" i="13" s="1"/>
  <c r="R25" i="13"/>
  <c r="AB25" i="13" s="1"/>
  <c r="T28" i="13"/>
  <c r="AB29" i="13"/>
  <c r="AB51" i="13"/>
  <c r="AC51" i="13" s="1"/>
  <c r="AD51" i="13" s="1"/>
  <c r="J54" i="13"/>
  <c r="K54" i="13" s="1"/>
  <c r="W12" i="13"/>
  <c r="R12" i="13"/>
  <c r="S12" i="13"/>
  <c r="N11" i="13"/>
  <c r="N10" i="13" s="1"/>
  <c r="Y35" i="13"/>
  <c r="AC35" i="13" s="1"/>
  <c r="AD35" i="13" s="1"/>
  <c r="S35" i="13"/>
  <c r="T35" i="13" s="1"/>
  <c r="Y22" i="13"/>
  <c r="S22" i="13"/>
  <c r="T22" i="13" s="1"/>
  <c r="Y29" i="13"/>
  <c r="S29" i="13"/>
  <c r="T29" i="13" s="1"/>
  <c r="V11" i="13"/>
  <c r="J13" i="13"/>
  <c r="K13" i="13" s="1"/>
  <c r="J17" i="13"/>
  <c r="K17" i="13" s="1"/>
  <c r="J21" i="13"/>
  <c r="K21" i="13" s="1"/>
  <c r="Y25" i="13"/>
  <c r="AC25" i="13" s="1"/>
  <c r="AD25" i="13" s="1"/>
  <c r="P27" i="13"/>
  <c r="J29" i="13"/>
  <c r="G27" i="13"/>
  <c r="Y31" i="13"/>
  <c r="S31" i="13"/>
  <c r="T31" i="13" s="1"/>
  <c r="Y33" i="13"/>
  <c r="S38" i="13"/>
  <c r="T38" i="13" s="1"/>
  <c r="Y38" i="13"/>
  <c r="AB41" i="13"/>
  <c r="AC41" i="13" s="1"/>
  <c r="AD41" i="13" s="1"/>
  <c r="J42" i="13"/>
  <c r="K42" i="13" s="1"/>
  <c r="S46" i="13"/>
  <c r="T46" i="13" s="1"/>
  <c r="Y46" i="13"/>
  <c r="AC46" i="13" s="1"/>
  <c r="AD46" i="13" s="1"/>
  <c r="AB50" i="13"/>
  <c r="AC50" i="13" s="1"/>
  <c r="AD50" i="13" s="1"/>
  <c r="S50" i="13"/>
  <c r="T50" i="13" s="1"/>
  <c r="AC53" i="13"/>
  <c r="AD53" i="13" s="1"/>
  <c r="AB55" i="13"/>
  <c r="S24" i="13"/>
  <c r="T24" i="13" s="1"/>
  <c r="AB30" i="13"/>
  <c r="S32" i="13"/>
  <c r="T32" i="13" s="1"/>
  <c r="J34" i="13"/>
  <c r="K34" i="13" s="1"/>
  <c r="AB34" i="13"/>
  <c r="AC37" i="13"/>
  <c r="AD37" i="13" s="1"/>
  <c r="AB42" i="13"/>
  <c r="AC45" i="13"/>
  <c r="AD45" i="13" s="1"/>
  <c r="AC55" i="13"/>
  <c r="AD55" i="13" s="1"/>
  <c r="Y30" i="13"/>
  <c r="AC30" i="13" s="1"/>
  <c r="AD30" i="13" s="1"/>
  <c r="Y34" i="13"/>
  <c r="AC34" i="13" s="1"/>
  <c r="AD34" i="13" s="1"/>
  <c r="AC38" i="13"/>
  <c r="AD38" i="13" s="1"/>
  <c r="S43" i="13"/>
  <c r="T43" i="13" s="1"/>
  <c r="Y43" i="13"/>
  <c r="AC43" i="13" s="1"/>
  <c r="AD43" i="13" s="1"/>
  <c r="J59" i="13"/>
  <c r="J56" i="13" s="1"/>
  <c r="G22" i="12"/>
  <c r="I58" i="12"/>
  <c r="R58" i="12"/>
  <c r="S25" i="13" l="1"/>
  <c r="T25" i="13" s="1"/>
  <c r="AC33" i="13"/>
  <c r="AD33" i="13" s="1"/>
  <c r="AC31" i="13"/>
  <c r="AD31" i="13" s="1"/>
  <c r="AB27" i="13"/>
  <c r="AC29" i="13"/>
  <c r="AD29" i="13" s="1"/>
  <c r="V10" i="13"/>
  <c r="I10" i="13"/>
  <c r="AC24" i="13"/>
  <c r="AD24" i="13" s="1"/>
  <c r="J24" i="13"/>
  <c r="K24" i="13" s="1"/>
  <c r="W11" i="13"/>
  <c r="W10" i="13" s="1"/>
  <c r="G11" i="13"/>
  <c r="G10" i="13" s="1"/>
  <c r="AC22" i="13"/>
  <c r="AD22" i="13" s="1"/>
  <c r="AC20" i="13"/>
  <c r="AD20" i="13" s="1"/>
  <c r="AC18" i="13"/>
  <c r="AD18" i="13" s="1"/>
  <c r="AC17" i="13"/>
  <c r="AD17" i="13" s="1"/>
  <c r="AC16" i="13"/>
  <c r="AD16" i="13" s="1"/>
  <c r="Y15" i="13"/>
  <c r="AC15" i="13" s="1"/>
  <c r="AD15" i="13" s="1"/>
  <c r="P11" i="13"/>
  <c r="P10" i="13" s="1"/>
  <c r="S14" i="13"/>
  <c r="T14" i="13" s="1"/>
  <c r="AC14" i="13"/>
  <c r="AD14" i="13" s="1"/>
  <c r="AC13" i="13"/>
  <c r="AD13" i="13" s="1"/>
  <c r="J11" i="13"/>
  <c r="K12" i="13"/>
  <c r="T27" i="13"/>
  <c r="Y27" i="13"/>
  <c r="T12" i="13"/>
  <c r="T11" i="13" s="1"/>
  <c r="AC42" i="13"/>
  <c r="AD42" i="13" s="1"/>
  <c r="AD28" i="13"/>
  <c r="S27" i="13"/>
  <c r="AD59" i="13"/>
  <c r="AD56" i="13" s="1"/>
  <c r="K59" i="13"/>
  <c r="K56" i="13" s="1"/>
  <c r="K29" i="13"/>
  <c r="K27" i="13" s="1"/>
  <c r="J27" i="13"/>
  <c r="R11" i="13"/>
  <c r="R10" i="13" s="1"/>
  <c r="AB12" i="13"/>
  <c r="AB11" i="13" s="1"/>
  <c r="V73" i="12"/>
  <c r="J73" i="12"/>
  <c r="AC73" i="12" s="1"/>
  <c r="P40" i="12"/>
  <c r="R64" i="12"/>
  <c r="I64" i="12"/>
  <c r="R60" i="12"/>
  <c r="I60" i="12"/>
  <c r="V67" i="12"/>
  <c r="R67" i="12"/>
  <c r="P67" i="12"/>
  <c r="I67" i="12"/>
  <c r="G67" i="12"/>
  <c r="S11" i="13" l="1"/>
  <c r="AB10" i="13"/>
  <c r="T10" i="13"/>
  <c r="K11" i="13"/>
  <c r="K10" i="13" s="1"/>
  <c r="Y10" i="13"/>
  <c r="AC27" i="13"/>
  <c r="S10" i="13"/>
  <c r="J10" i="13"/>
  <c r="AD27" i="13"/>
  <c r="AC12" i="13"/>
  <c r="K73" i="12"/>
  <c r="AD73" i="12" s="1"/>
  <c r="AD72" i="12" s="1"/>
  <c r="S67" i="12"/>
  <c r="T67" i="12" s="1"/>
  <c r="J67" i="12"/>
  <c r="K67" i="12" s="1"/>
  <c r="AB67" i="12"/>
  <c r="Y67" i="12"/>
  <c r="P66" i="12"/>
  <c r="G65" i="12"/>
  <c r="G26" i="12"/>
  <c r="N25" i="12"/>
  <c r="P25" i="12" s="1"/>
  <c r="E25" i="12"/>
  <c r="I25" i="12" s="1"/>
  <c r="P64" i="12"/>
  <c r="G64" i="12"/>
  <c r="V65" i="12"/>
  <c r="V66" i="12"/>
  <c r="V68" i="12"/>
  <c r="R65" i="12"/>
  <c r="R66" i="12"/>
  <c r="P65" i="12"/>
  <c r="I65" i="12"/>
  <c r="I66" i="12"/>
  <c r="I68" i="12"/>
  <c r="G66" i="12"/>
  <c r="G68" i="12"/>
  <c r="Y68" i="12" s="1"/>
  <c r="V62" i="12"/>
  <c r="R62" i="12"/>
  <c r="P62" i="12"/>
  <c r="I62" i="12"/>
  <c r="G62" i="12"/>
  <c r="N24" i="12"/>
  <c r="E24" i="12"/>
  <c r="P55" i="12"/>
  <c r="G55" i="12"/>
  <c r="P53" i="12"/>
  <c r="G53" i="12"/>
  <c r="Y59" i="12"/>
  <c r="V52" i="12"/>
  <c r="V53" i="12"/>
  <c r="V54" i="12"/>
  <c r="V55" i="12"/>
  <c r="V56" i="12"/>
  <c r="V57" i="12"/>
  <c r="V58" i="12"/>
  <c r="V59" i="12"/>
  <c r="V60" i="12"/>
  <c r="V61" i="12"/>
  <c r="V63" i="12"/>
  <c r="V64" i="12"/>
  <c r="R52" i="12"/>
  <c r="R53" i="12"/>
  <c r="R54" i="12"/>
  <c r="R55" i="12"/>
  <c r="R56" i="12"/>
  <c r="S56" i="12" s="1"/>
  <c r="T56" i="12" s="1"/>
  <c r="R57" i="12"/>
  <c r="S57" i="12" s="1"/>
  <c r="T57" i="12" s="1"/>
  <c r="S58" i="12"/>
  <c r="T58" i="12" s="1"/>
  <c r="R59" i="12"/>
  <c r="S59" i="12" s="1"/>
  <c r="T59" i="12" s="1"/>
  <c r="S60" i="12"/>
  <c r="T60" i="12" s="1"/>
  <c r="AB61" i="12"/>
  <c r="R63" i="12"/>
  <c r="Y50" i="12"/>
  <c r="Y52" i="12"/>
  <c r="Y56" i="12"/>
  <c r="Y57" i="12"/>
  <c r="S61" i="12"/>
  <c r="T61" i="12" s="1"/>
  <c r="Y63" i="12"/>
  <c r="I59" i="12"/>
  <c r="J61" i="12"/>
  <c r="K61" i="12" s="1"/>
  <c r="I52" i="12"/>
  <c r="I53" i="12"/>
  <c r="I54" i="12"/>
  <c r="I55" i="12"/>
  <c r="I56" i="12"/>
  <c r="I57" i="12"/>
  <c r="J57" i="12" s="1"/>
  <c r="K57" i="12" s="1"/>
  <c r="I63" i="12"/>
  <c r="P48" i="12"/>
  <c r="G48" i="12"/>
  <c r="P47" i="12"/>
  <c r="G47" i="12"/>
  <c r="V46" i="12"/>
  <c r="V47" i="12"/>
  <c r="V48" i="12"/>
  <c r="V49" i="12"/>
  <c r="V50" i="12"/>
  <c r="V51" i="12"/>
  <c r="R46" i="12"/>
  <c r="R47" i="12"/>
  <c r="R48" i="12"/>
  <c r="R49" i="12"/>
  <c r="S49" i="12" s="1"/>
  <c r="T49" i="12" s="1"/>
  <c r="R50" i="12"/>
  <c r="R51" i="12"/>
  <c r="P46" i="12"/>
  <c r="Y51" i="12"/>
  <c r="I46" i="12"/>
  <c r="I47" i="12"/>
  <c r="I48" i="12"/>
  <c r="I49" i="12"/>
  <c r="I50" i="12"/>
  <c r="I51" i="12"/>
  <c r="G46" i="12"/>
  <c r="P45" i="12"/>
  <c r="G45" i="12"/>
  <c r="Y23" i="12"/>
  <c r="V23" i="12"/>
  <c r="V24" i="12"/>
  <c r="V25" i="12"/>
  <c r="V26" i="12"/>
  <c r="AB23" i="12"/>
  <c r="R26" i="12"/>
  <c r="S23" i="12"/>
  <c r="T23" i="12" s="1"/>
  <c r="P26" i="12"/>
  <c r="J23" i="12"/>
  <c r="K23" i="12" s="1"/>
  <c r="I26" i="12"/>
  <c r="P22" i="12"/>
  <c r="P43" i="12"/>
  <c r="G43" i="12"/>
  <c r="P21" i="12"/>
  <c r="G21" i="12"/>
  <c r="P42" i="12"/>
  <c r="G42" i="12"/>
  <c r="P41" i="12"/>
  <c r="G41" i="12"/>
  <c r="G40" i="12"/>
  <c r="P20" i="12"/>
  <c r="G20" i="12"/>
  <c r="P19" i="12"/>
  <c r="G19" i="12"/>
  <c r="V40" i="12"/>
  <c r="V41" i="12"/>
  <c r="V42" i="12"/>
  <c r="V43" i="12"/>
  <c r="V44" i="12"/>
  <c r="V45" i="12"/>
  <c r="R41" i="12"/>
  <c r="R42" i="12"/>
  <c r="R43" i="12"/>
  <c r="R45" i="12"/>
  <c r="Y44" i="12"/>
  <c r="J44" i="12"/>
  <c r="K44" i="12" s="1"/>
  <c r="I41" i="12"/>
  <c r="I42" i="12"/>
  <c r="I43" i="12"/>
  <c r="AB44" i="12"/>
  <c r="I45" i="12"/>
  <c r="P39" i="12"/>
  <c r="V39" i="12"/>
  <c r="G39" i="12"/>
  <c r="P18" i="12"/>
  <c r="G18" i="12"/>
  <c r="P17" i="12"/>
  <c r="G17" i="12"/>
  <c r="P16" i="12"/>
  <c r="G16" i="12"/>
  <c r="R36" i="12"/>
  <c r="I36" i="12"/>
  <c r="R38" i="12"/>
  <c r="I38" i="12"/>
  <c r="P15" i="12"/>
  <c r="G15" i="12"/>
  <c r="P14" i="12"/>
  <c r="G14" i="12"/>
  <c r="V13" i="12"/>
  <c r="V14" i="12"/>
  <c r="V15" i="12"/>
  <c r="V16" i="12"/>
  <c r="V17" i="12"/>
  <c r="V18" i="12"/>
  <c r="V19" i="12"/>
  <c r="V20" i="12"/>
  <c r="V21" i="12"/>
  <c r="V22" i="12"/>
  <c r="P13" i="12"/>
  <c r="P38" i="12"/>
  <c r="V38" i="12"/>
  <c r="G38" i="12"/>
  <c r="V37" i="12"/>
  <c r="R37" i="12"/>
  <c r="R39" i="12"/>
  <c r="R40" i="12"/>
  <c r="P36" i="12"/>
  <c r="P37" i="12"/>
  <c r="V36" i="12"/>
  <c r="I37" i="12"/>
  <c r="I39" i="12"/>
  <c r="I40" i="12"/>
  <c r="G36" i="12"/>
  <c r="G37" i="12"/>
  <c r="P35" i="12"/>
  <c r="R35" i="12"/>
  <c r="V35" i="12"/>
  <c r="G35" i="12"/>
  <c r="I35" i="12"/>
  <c r="R34" i="12"/>
  <c r="V34" i="12"/>
  <c r="I34" i="12"/>
  <c r="P33" i="12"/>
  <c r="R33" i="12"/>
  <c r="V33" i="12"/>
  <c r="G33" i="12"/>
  <c r="I33" i="12"/>
  <c r="N12" i="12"/>
  <c r="P12" i="12" s="1"/>
  <c r="E12" i="12"/>
  <c r="G12" i="12" s="1"/>
  <c r="P32" i="12"/>
  <c r="P34" i="12"/>
  <c r="R32" i="12"/>
  <c r="V32" i="12"/>
  <c r="G32" i="12"/>
  <c r="G34" i="12"/>
  <c r="Y34" i="12" s="1"/>
  <c r="I32" i="12"/>
  <c r="P31" i="12"/>
  <c r="P30" i="12"/>
  <c r="G30" i="12"/>
  <c r="P29" i="12"/>
  <c r="G29" i="12"/>
  <c r="P28" i="12"/>
  <c r="G28" i="12"/>
  <c r="AC72" i="12"/>
  <c r="AB72" i="12"/>
  <c r="AA72" i="12"/>
  <c r="Z72" i="12"/>
  <c r="Y72" i="12"/>
  <c r="X72" i="12"/>
  <c r="W72" i="12"/>
  <c r="V72" i="12"/>
  <c r="U72" i="12"/>
  <c r="T72" i="12"/>
  <c r="S72" i="12"/>
  <c r="R72" i="12"/>
  <c r="Q72" i="12"/>
  <c r="P72" i="12"/>
  <c r="O72" i="12"/>
  <c r="N72" i="12"/>
  <c r="M72" i="12"/>
  <c r="L72" i="12"/>
  <c r="J72" i="12"/>
  <c r="I72" i="12"/>
  <c r="H72" i="12"/>
  <c r="G72" i="12"/>
  <c r="F72" i="12"/>
  <c r="E72" i="12"/>
  <c r="D72" i="12"/>
  <c r="AE70" i="12"/>
  <c r="AD70" i="12"/>
  <c r="AC70" i="12"/>
  <c r="AB70" i="12"/>
  <c r="AA70" i="12"/>
  <c r="AA69" i="12" s="1"/>
  <c r="Z70" i="12"/>
  <c r="Y70" i="12"/>
  <c r="X70" i="12"/>
  <c r="W70" i="12"/>
  <c r="W69" i="12" s="1"/>
  <c r="V70" i="12"/>
  <c r="U70" i="12"/>
  <c r="T70" i="12"/>
  <c r="S70" i="12"/>
  <c r="S69" i="12" s="1"/>
  <c r="R70" i="12"/>
  <c r="Q70" i="12"/>
  <c r="P70" i="12"/>
  <c r="O70" i="12"/>
  <c r="O69" i="12" s="1"/>
  <c r="N70" i="12"/>
  <c r="M70" i="12"/>
  <c r="L70" i="12"/>
  <c r="K70" i="12"/>
  <c r="J70" i="12"/>
  <c r="J69" i="12" s="1"/>
  <c r="I70" i="12"/>
  <c r="I69" i="12" s="1"/>
  <c r="H70" i="12"/>
  <c r="H69" i="12" s="1"/>
  <c r="G70" i="12"/>
  <c r="G69" i="12" s="1"/>
  <c r="F70" i="12"/>
  <c r="F69" i="12" s="1"/>
  <c r="E70" i="12"/>
  <c r="E69" i="12" s="1"/>
  <c r="D70" i="12"/>
  <c r="D69" i="12" s="1"/>
  <c r="V31" i="12"/>
  <c r="R31" i="12"/>
  <c r="I31" i="12"/>
  <c r="G31" i="12"/>
  <c r="V30" i="12"/>
  <c r="R30" i="12"/>
  <c r="I30" i="12"/>
  <c r="W29" i="12"/>
  <c r="V29" i="12"/>
  <c r="R29" i="12"/>
  <c r="I29" i="12"/>
  <c r="X28" i="12"/>
  <c r="X27" i="12" s="1"/>
  <c r="V28" i="12"/>
  <c r="R28" i="12"/>
  <c r="I28" i="12"/>
  <c r="AA27" i="12"/>
  <c r="Z27" i="12"/>
  <c r="U27" i="12"/>
  <c r="Q27" i="12"/>
  <c r="O27" i="12"/>
  <c r="N27" i="12"/>
  <c r="M27" i="12"/>
  <c r="L27" i="12"/>
  <c r="H27" i="12"/>
  <c r="F27" i="12"/>
  <c r="E27" i="12"/>
  <c r="D27" i="12"/>
  <c r="R22" i="12"/>
  <c r="I22" i="12"/>
  <c r="I21" i="12"/>
  <c r="R20" i="12"/>
  <c r="I20" i="12"/>
  <c r="I19" i="12"/>
  <c r="R18" i="12"/>
  <c r="R17" i="12"/>
  <c r="I17" i="12"/>
  <c r="R16" i="12"/>
  <c r="I16" i="12"/>
  <c r="I15" i="12"/>
  <c r="R14" i="12"/>
  <c r="I14" i="12"/>
  <c r="R13" i="12"/>
  <c r="I13" i="12"/>
  <c r="G13" i="12"/>
  <c r="X12" i="12"/>
  <c r="V12" i="12"/>
  <c r="AA11" i="12"/>
  <c r="Z11" i="12"/>
  <c r="U11" i="12"/>
  <c r="Q11" i="12"/>
  <c r="O11" i="12"/>
  <c r="M11" i="12"/>
  <c r="L11" i="12"/>
  <c r="H11" i="12"/>
  <c r="F11" i="12"/>
  <c r="D11" i="12"/>
  <c r="AD12" i="13" l="1"/>
  <c r="AD11" i="13" s="1"/>
  <c r="AD10" i="13" s="1"/>
  <c r="AC11" i="13"/>
  <c r="AC10" i="13" s="1"/>
  <c r="X69" i="12"/>
  <c r="AC69" i="12"/>
  <c r="L69" i="12"/>
  <c r="AB69" i="12"/>
  <c r="M69" i="12"/>
  <c r="Q69" i="12"/>
  <c r="U69" i="12"/>
  <c r="Y69" i="12"/>
  <c r="N69" i="12"/>
  <c r="R69" i="12"/>
  <c r="V69" i="12"/>
  <c r="Z69" i="12"/>
  <c r="AD69" i="12"/>
  <c r="K72" i="12"/>
  <c r="K69" i="12" s="1"/>
  <c r="AC67" i="12"/>
  <c r="AD67" i="12" s="1"/>
  <c r="P69" i="12"/>
  <c r="T69" i="12"/>
  <c r="J62" i="12"/>
  <c r="K62" i="12" s="1"/>
  <c r="W24" i="12"/>
  <c r="J48" i="12"/>
  <c r="K48" i="12" s="1"/>
  <c r="R25" i="12"/>
  <c r="S25" i="12" s="1"/>
  <c r="T25" i="12" s="1"/>
  <c r="X11" i="12"/>
  <c r="X10" i="12" s="1"/>
  <c r="Y38" i="12"/>
  <c r="S42" i="12"/>
  <c r="T42" i="12" s="1"/>
  <c r="Y42" i="12"/>
  <c r="S65" i="12"/>
  <c r="T65" i="12" s="1"/>
  <c r="L10" i="12"/>
  <c r="Y39" i="12"/>
  <c r="J68" i="12"/>
  <c r="K68" i="12" s="1"/>
  <c r="R12" i="12"/>
  <c r="S12" i="12" s="1"/>
  <c r="AB39" i="12"/>
  <c r="Y36" i="12"/>
  <c r="Y13" i="12"/>
  <c r="S43" i="12"/>
  <c r="T43" i="12" s="1"/>
  <c r="S47" i="12"/>
  <c r="T47" i="12" s="1"/>
  <c r="J65" i="12"/>
  <c r="K65" i="12" s="1"/>
  <c r="AB28" i="12"/>
  <c r="J29" i="12"/>
  <c r="K29" i="12" s="1"/>
  <c r="Y29" i="12"/>
  <c r="S55" i="12"/>
  <c r="T55" i="12" s="1"/>
  <c r="S66" i="12"/>
  <c r="T66" i="12" s="1"/>
  <c r="J28" i="12"/>
  <c r="K28" i="12" s="1"/>
  <c r="S36" i="12"/>
  <c r="T36" i="12" s="1"/>
  <c r="J36" i="12"/>
  <c r="K36" i="12" s="1"/>
  <c r="G25" i="12"/>
  <c r="Y25" i="12" s="1"/>
  <c r="H10" i="12"/>
  <c r="S41" i="12"/>
  <c r="T41" i="12" s="1"/>
  <c r="Y53" i="12"/>
  <c r="S62" i="12"/>
  <c r="T62" i="12" s="1"/>
  <c r="AB65" i="12"/>
  <c r="AB68" i="12"/>
  <c r="AC68" i="12" s="1"/>
  <c r="AD68" i="12" s="1"/>
  <c r="J33" i="12"/>
  <c r="K33" i="12" s="1"/>
  <c r="Y33" i="12"/>
  <c r="AB36" i="12"/>
  <c r="AB38" i="12"/>
  <c r="AB59" i="12"/>
  <c r="AC59" i="12" s="1"/>
  <c r="AD59" i="12" s="1"/>
  <c r="AB62" i="12"/>
  <c r="S68" i="12"/>
  <c r="T68" i="12" s="1"/>
  <c r="Y66" i="12"/>
  <c r="AB66" i="12"/>
  <c r="J66" i="12"/>
  <c r="K66" i="12" s="1"/>
  <c r="Y65" i="12"/>
  <c r="J59" i="12"/>
  <c r="K59" i="12" s="1"/>
  <c r="Y64" i="12"/>
  <c r="AB56" i="12"/>
  <c r="AB52" i="12"/>
  <c r="AC52" i="12" s="1"/>
  <c r="AD52" i="12" s="1"/>
  <c r="AB58" i="12"/>
  <c r="J64" i="12"/>
  <c r="K64" i="12" s="1"/>
  <c r="J52" i="12"/>
  <c r="K52" i="12" s="1"/>
  <c r="AB63" i="12"/>
  <c r="AC63" i="12" s="1"/>
  <c r="AD63" i="12" s="1"/>
  <c r="AB54" i="12"/>
  <c r="S54" i="12"/>
  <c r="T54" i="12" s="1"/>
  <c r="AB57" i="12"/>
  <c r="AC57" i="12" s="1"/>
  <c r="AD57" i="12" s="1"/>
  <c r="S64" i="12"/>
  <c r="T64" i="12" s="1"/>
  <c r="AB64" i="12"/>
  <c r="S63" i="12"/>
  <c r="T63" i="12" s="1"/>
  <c r="J63" i="12"/>
  <c r="K63" i="12" s="1"/>
  <c r="Y62" i="12"/>
  <c r="Y61" i="12"/>
  <c r="AC61" i="12" s="1"/>
  <c r="AD61" i="12" s="1"/>
  <c r="Y60" i="12"/>
  <c r="AB60" i="12"/>
  <c r="J60" i="12"/>
  <c r="K60" i="12" s="1"/>
  <c r="J58" i="12"/>
  <c r="K58" i="12" s="1"/>
  <c r="Y58" i="12"/>
  <c r="AC56" i="12"/>
  <c r="AD56" i="12" s="1"/>
  <c r="J56" i="12"/>
  <c r="K56" i="12" s="1"/>
  <c r="Y55" i="12"/>
  <c r="J55" i="12"/>
  <c r="K55" i="12" s="1"/>
  <c r="AB55" i="12"/>
  <c r="Y54" i="12"/>
  <c r="J54" i="12"/>
  <c r="K54" i="12" s="1"/>
  <c r="S53" i="12"/>
  <c r="T53" i="12" s="1"/>
  <c r="J53" i="12"/>
  <c r="K53" i="12" s="1"/>
  <c r="AB53" i="12"/>
  <c r="S52" i="12"/>
  <c r="T52" i="12" s="1"/>
  <c r="S50" i="12"/>
  <c r="T50" i="12" s="1"/>
  <c r="AB50" i="12"/>
  <c r="AC50" i="12" s="1"/>
  <c r="AD50" i="12" s="1"/>
  <c r="AB47" i="12"/>
  <c r="J24" i="12"/>
  <c r="K24" i="12" s="1"/>
  <c r="J26" i="12"/>
  <c r="K26" i="12" s="1"/>
  <c r="AB48" i="12"/>
  <c r="S46" i="12"/>
  <c r="T46" i="12" s="1"/>
  <c r="AB26" i="12"/>
  <c r="AB46" i="12"/>
  <c r="S48" i="12"/>
  <c r="T48" i="12" s="1"/>
  <c r="AB51" i="12"/>
  <c r="AC51" i="12" s="1"/>
  <c r="AD51" i="12" s="1"/>
  <c r="S51" i="12"/>
  <c r="T51" i="12" s="1"/>
  <c r="J51" i="12"/>
  <c r="K51" i="12" s="1"/>
  <c r="J50" i="12"/>
  <c r="K50" i="12" s="1"/>
  <c r="Y49" i="12"/>
  <c r="AB49" i="12"/>
  <c r="J49" i="12"/>
  <c r="K49" i="12" s="1"/>
  <c r="Y48" i="12"/>
  <c r="Y47" i="12"/>
  <c r="J47" i="12"/>
  <c r="K47" i="12" s="1"/>
  <c r="Y46" i="12"/>
  <c r="J46" i="12"/>
  <c r="K46" i="12" s="1"/>
  <c r="Y26" i="12"/>
  <c r="AB29" i="12"/>
  <c r="S32" i="12"/>
  <c r="T32" i="12" s="1"/>
  <c r="AB24" i="12"/>
  <c r="Y24" i="12"/>
  <c r="S24" i="12"/>
  <c r="T24" i="12" s="1"/>
  <c r="AA10" i="12"/>
  <c r="S34" i="12"/>
  <c r="T34" i="12" s="1"/>
  <c r="S26" i="12"/>
  <c r="T26" i="12" s="1"/>
  <c r="AB30" i="12"/>
  <c r="AB31" i="12"/>
  <c r="Y32" i="12"/>
  <c r="AB33" i="12"/>
  <c r="S45" i="12"/>
  <c r="T45" i="12" s="1"/>
  <c r="AC23" i="12"/>
  <c r="AD23" i="12" s="1"/>
  <c r="AB34" i="12"/>
  <c r="AC34" i="12" s="1"/>
  <c r="AD34" i="12" s="1"/>
  <c r="AB43" i="12"/>
  <c r="J45" i="12"/>
  <c r="K45" i="12" s="1"/>
  <c r="AB45" i="12"/>
  <c r="J43" i="12"/>
  <c r="K43" i="12" s="1"/>
  <c r="Y45" i="12"/>
  <c r="Z10" i="12"/>
  <c r="AB13" i="12"/>
  <c r="S40" i="12"/>
  <c r="T40" i="12" s="1"/>
  <c r="Q10" i="12"/>
  <c r="AB22" i="12"/>
  <c r="J32" i="12"/>
  <c r="K32" i="12" s="1"/>
  <c r="AB42" i="12"/>
  <c r="S44" i="12"/>
  <c r="T44" i="12" s="1"/>
  <c r="AC44" i="12"/>
  <c r="AD44" i="12" s="1"/>
  <c r="Y43" i="12"/>
  <c r="J21" i="12"/>
  <c r="K21" i="12" s="1"/>
  <c r="J42" i="12"/>
  <c r="K42" i="12" s="1"/>
  <c r="Y41" i="12"/>
  <c r="AB41" i="12"/>
  <c r="J41" i="12"/>
  <c r="K41" i="12" s="1"/>
  <c r="J40" i="12"/>
  <c r="K40" i="12" s="1"/>
  <c r="AB40" i="12"/>
  <c r="Y20" i="12"/>
  <c r="AB20" i="12"/>
  <c r="J20" i="12"/>
  <c r="K20" i="12" s="1"/>
  <c r="J19" i="12"/>
  <c r="K19" i="12" s="1"/>
  <c r="Y40" i="12"/>
  <c r="J39" i="12"/>
  <c r="K39" i="12" s="1"/>
  <c r="AB16" i="12"/>
  <c r="S35" i="12"/>
  <c r="T35" i="12" s="1"/>
  <c r="S39" i="12"/>
  <c r="T39" i="12" s="1"/>
  <c r="S18" i="12"/>
  <c r="T18" i="12" s="1"/>
  <c r="D10" i="12"/>
  <c r="F10" i="12"/>
  <c r="AB17" i="12"/>
  <c r="J17" i="12"/>
  <c r="K17" i="12" s="1"/>
  <c r="S16" i="12"/>
  <c r="T16" i="12" s="1"/>
  <c r="Y16" i="12"/>
  <c r="J16" i="12"/>
  <c r="K16" i="12" s="1"/>
  <c r="J15" i="12"/>
  <c r="K15" i="12" s="1"/>
  <c r="S14" i="12"/>
  <c r="T14" i="12" s="1"/>
  <c r="AB14" i="12"/>
  <c r="V11" i="12"/>
  <c r="S38" i="12"/>
  <c r="T38" i="12" s="1"/>
  <c r="J38" i="12"/>
  <c r="K38" i="12" s="1"/>
  <c r="S37" i="12"/>
  <c r="T37" i="12" s="1"/>
  <c r="AB37" i="12"/>
  <c r="J37" i="12"/>
  <c r="K37" i="12" s="1"/>
  <c r="Y37" i="12"/>
  <c r="O10" i="12"/>
  <c r="AB35" i="12"/>
  <c r="Y35" i="12"/>
  <c r="J35" i="12"/>
  <c r="K35" i="12" s="1"/>
  <c r="U10" i="12"/>
  <c r="J34" i="12"/>
  <c r="K34" i="12" s="1"/>
  <c r="S33" i="12"/>
  <c r="T33" i="12" s="1"/>
  <c r="W12" i="12"/>
  <c r="I12" i="12"/>
  <c r="AB32" i="12"/>
  <c r="J31" i="12"/>
  <c r="K31" i="12" s="1"/>
  <c r="S29" i="12"/>
  <c r="T29" i="12" s="1"/>
  <c r="M10" i="12"/>
  <c r="Y28" i="12"/>
  <c r="J13" i="12"/>
  <c r="K13" i="12" s="1"/>
  <c r="S22" i="12"/>
  <c r="T22" i="12" s="1"/>
  <c r="V27" i="12"/>
  <c r="S20" i="12"/>
  <c r="T20" i="12" s="1"/>
  <c r="J22" i="12"/>
  <c r="K22" i="12" s="1"/>
  <c r="Y31" i="12"/>
  <c r="S31" i="12"/>
  <c r="T31" i="12" s="1"/>
  <c r="E11" i="12"/>
  <c r="E10" i="12" s="1"/>
  <c r="I18" i="12"/>
  <c r="AB18" i="12" s="1"/>
  <c r="Y19" i="12"/>
  <c r="Y21" i="12"/>
  <c r="Y22" i="12"/>
  <c r="G27" i="12"/>
  <c r="J30" i="12"/>
  <c r="K30" i="12" s="1"/>
  <c r="N11" i="12"/>
  <c r="N10" i="12" s="1"/>
  <c r="R15" i="12"/>
  <c r="AB15" i="12" s="1"/>
  <c r="R19" i="12"/>
  <c r="AB19" i="12" s="1"/>
  <c r="R21" i="12"/>
  <c r="R27" i="12"/>
  <c r="I27" i="12"/>
  <c r="W27" i="12"/>
  <c r="Y30" i="12"/>
  <c r="S30" i="12"/>
  <c r="T30" i="12" s="1"/>
  <c r="P27" i="12"/>
  <c r="S13" i="12"/>
  <c r="T13" i="12" s="1"/>
  <c r="S28" i="12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D25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X24" i="10"/>
  <c r="P31" i="10"/>
  <c r="G31" i="10"/>
  <c r="P30" i="10"/>
  <c r="G30" i="10"/>
  <c r="P29" i="10"/>
  <c r="G29" i="10"/>
  <c r="P23" i="10"/>
  <c r="G23" i="10"/>
  <c r="P28" i="10"/>
  <c r="G28" i="10"/>
  <c r="P22" i="10"/>
  <c r="G22" i="10"/>
  <c r="N21" i="10"/>
  <c r="R21" i="10" s="1"/>
  <c r="E21" i="10"/>
  <c r="I21" i="10" s="1"/>
  <c r="P20" i="10"/>
  <c r="G20" i="10"/>
  <c r="P27" i="10"/>
  <c r="G27" i="10"/>
  <c r="N19" i="10"/>
  <c r="R19" i="10" s="1"/>
  <c r="E19" i="10"/>
  <c r="I19" i="10" s="1"/>
  <c r="N18" i="10"/>
  <c r="R18" i="10" s="1"/>
  <c r="E18" i="10"/>
  <c r="I18" i="10" s="1"/>
  <c r="P26" i="10"/>
  <c r="G26" i="10"/>
  <c r="N17" i="10"/>
  <c r="P17" i="10" s="1"/>
  <c r="E17" i="10"/>
  <c r="G17" i="10" s="1"/>
  <c r="N15" i="10"/>
  <c r="P15" i="10" s="1"/>
  <c r="E15" i="10"/>
  <c r="N14" i="10"/>
  <c r="R14" i="10" s="1"/>
  <c r="E14" i="10"/>
  <c r="G14" i="10" s="1"/>
  <c r="P13" i="10"/>
  <c r="G13" i="10"/>
  <c r="P12" i="10"/>
  <c r="G12" i="10"/>
  <c r="Y35" i="10"/>
  <c r="AA35" i="10"/>
  <c r="Z35" i="10"/>
  <c r="X35" i="10"/>
  <c r="W35" i="10"/>
  <c r="U35" i="10"/>
  <c r="T35" i="10"/>
  <c r="S35" i="10"/>
  <c r="R35" i="10"/>
  <c r="Q35" i="10"/>
  <c r="P35" i="10"/>
  <c r="O35" i="10"/>
  <c r="N35" i="10"/>
  <c r="M35" i="10"/>
  <c r="L35" i="10"/>
  <c r="H35" i="10"/>
  <c r="G35" i="10"/>
  <c r="F35" i="10"/>
  <c r="E35" i="10"/>
  <c r="D35" i="10"/>
  <c r="AE33" i="10"/>
  <c r="AD33" i="10"/>
  <c r="AC33" i="10"/>
  <c r="AB33" i="10"/>
  <c r="AA33" i="10"/>
  <c r="Z33" i="10"/>
  <c r="Y33" i="10"/>
  <c r="X33" i="10"/>
  <c r="W33" i="10"/>
  <c r="W32" i="10" s="1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H32" i="10" s="1"/>
  <c r="G33" i="10"/>
  <c r="G32" i="10" s="1"/>
  <c r="F33" i="10"/>
  <c r="F32" i="10" s="1"/>
  <c r="E33" i="10"/>
  <c r="E32" i="10" s="1"/>
  <c r="D33" i="10"/>
  <c r="D32" i="10" s="1"/>
  <c r="R31" i="10"/>
  <c r="I31" i="10"/>
  <c r="W30" i="10"/>
  <c r="V30" i="10"/>
  <c r="R30" i="10"/>
  <c r="I30" i="10"/>
  <c r="V29" i="10"/>
  <c r="R29" i="10"/>
  <c r="I29" i="10"/>
  <c r="V28" i="10"/>
  <c r="R28" i="10"/>
  <c r="I28" i="10"/>
  <c r="W27" i="10"/>
  <c r="V27" i="10"/>
  <c r="R27" i="10"/>
  <c r="I27" i="10"/>
  <c r="X26" i="10"/>
  <c r="V26" i="10"/>
  <c r="R26" i="10"/>
  <c r="I26" i="10"/>
  <c r="R23" i="10"/>
  <c r="I23" i="10"/>
  <c r="R22" i="10"/>
  <c r="I22" i="10"/>
  <c r="R20" i="10"/>
  <c r="I20" i="10"/>
  <c r="R16" i="10"/>
  <c r="P16" i="10"/>
  <c r="I16" i="10"/>
  <c r="G16" i="10"/>
  <c r="R13" i="10"/>
  <c r="I13" i="10"/>
  <c r="X12" i="10"/>
  <c r="V12" i="10"/>
  <c r="I12" i="10"/>
  <c r="D11" i="10"/>
  <c r="AB25" i="12" l="1"/>
  <c r="AC39" i="12"/>
  <c r="AD39" i="12" s="1"/>
  <c r="W11" i="12"/>
  <c r="W10" i="12" s="1"/>
  <c r="AC29" i="12"/>
  <c r="AD29" i="12" s="1"/>
  <c r="AC38" i="12"/>
  <c r="AD38" i="12" s="1"/>
  <c r="AC36" i="12"/>
  <c r="AD36" i="12" s="1"/>
  <c r="AC28" i="12"/>
  <c r="AD28" i="12" s="1"/>
  <c r="AC32" i="12"/>
  <c r="AD32" i="12" s="1"/>
  <c r="AC42" i="12"/>
  <c r="AD42" i="12" s="1"/>
  <c r="AB12" i="12"/>
  <c r="AC13" i="12"/>
  <c r="AD13" i="12" s="1"/>
  <c r="AC33" i="12"/>
  <c r="AD33" i="12" s="1"/>
  <c r="AC47" i="12"/>
  <c r="AD47" i="12" s="1"/>
  <c r="AC66" i="12"/>
  <c r="AD66" i="12" s="1"/>
  <c r="AC62" i="12"/>
  <c r="AD62" i="12" s="1"/>
  <c r="AC65" i="12"/>
  <c r="AD65" i="12" s="1"/>
  <c r="AC53" i="12"/>
  <c r="AD53" i="12" s="1"/>
  <c r="J25" i="12"/>
  <c r="K25" i="12" s="1"/>
  <c r="AC58" i="12"/>
  <c r="AD58" i="12" s="1"/>
  <c r="AC64" i="12"/>
  <c r="AD64" i="12" s="1"/>
  <c r="AC54" i="12"/>
  <c r="AD54" i="12" s="1"/>
  <c r="AC26" i="12"/>
  <c r="AD26" i="12" s="1"/>
  <c r="AC60" i="12"/>
  <c r="AD60" i="12" s="1"/>
  <c r="AC55" i="12"/>
  <c r="AD55" i="12" s="1"/>
  <c r="AC30" i="12"/>
  <c r="AD30" i="12" s="1"/>
  <c r="AC43" i="12"/>
  <c r="AD43" i="12" s="1"/>
  <c r="AC48" i="12"/>
  <c r="AD48" i="12" s="1"/>
  <c r="AC31" i="12"/>
  <c r="AD31" i="12" s="1"/>
  <c r="AC25" i="12"/>
  <c r="AD25" i="12" s="1"/>
  <c r="AC46" i="12"/>
  <c r="AD46" i="12" s="1"/>
  <c r="AC49" i="12"/>
  <c r="AD49" i="12" s="1"/>
  <c r="AC24" i="12"/>
  <c r="AD24" i="12" s="1"/>
  <c r="AC40" i="12"/>
  <c r="AD40" i="12" s="1"/>
  <c r="AC45" i="12"/>
  <c r="AD45" i="12" s="1"/>
  <c r="AC20" i="12"/>
  <c r="AD20" i="12" s="1"/>
  <c r="AC16" i="12"/>
  <c r="AD16" i="12" s="1"/>
  <c r="AC22" i="12"/>
  <c r="AD22" i="12" s="1"/>
  <c r="AC41" i="12"/>
  <c r="AD41" i="12" s="1"/>
  <c r="AC19" i="12"/>
  <c r="AD19" i="12" s="1"/>
  <c r="S21" i="12"/>
  <c r="T21" i="12" s="1"/>
  <c r="AB21" i="12"/>
  <c r="AC21" i="12" s="1"/>
  <c r="AD21" i="12" s="1"/>
  <c r="Y18" i="12"/>
  <c r="AC18" i="12" s="1"/>
  <c r="AD18" i="12" s="1"/>
  <c r="Y17" i="12"/>
  <c r="AC17" i="12" s="1"/>
  <c r="AD17" i="12" s="1"/>
  <c r="Y15" i="12"/>
  <c r="AC15" i="12" s="1"/>
  <c r="AD15" i="12" s="1"/>
  <c r="V10" i="12"/>
  <c r="AC37" i="12"/>
  <c r="AD37" i="12" s="1"/>
  <c r="AB27" i="12"/>
  <c r="AC35" i="12"/>
  <c r="AD35" i="12" s="1"/>
  <c r="J12" i="12"/>
  <c r="K12" i="12" s="1"/>
  <c r="Y12" i="12"/>
  <c r="I11" i="12"/>
  <c r="I10" i="12" s="1"/>
  <c r="K27" i="12"/>
  <c r="R11" i="12"/>
  <c r="R10" i="12" s="1"/>
  <c r="J27" i="12"/>
  <c r="Y14" i="12"/>
  <c r="AC14" i="12" s="1"/>
  <c r="AD14" i="12" s="1"/>
  <c r="G11" i="12"/>
  <c r="G10" i="12" s="1"/>
  <c r="T12" i="12"/>
  <c r="P11" i="12"/>
  <c r="P10" i="12" s="1"/>
  <c r="Y27" i="12"/>
  <c r="S27" i="12"/>
  <c r="T28" i="12"/>
  <c r="T27" i="12" s="1"/>
  <c r="S17" i="12"/>
  <c r="T17" i="12" s="1"/>
  <c r="J14" i="12"/>
  <c r="S19" i="12"/>
  <c r="T19" i="12" s="1"/>
  <c r="S15" i="12"/>
  <c r="T15" i="12" s="1"/>
  <c r="J18" i="12"/>
  <c r="K18" i="12" s="1"/>
  <c r="P21" i="10"/>
  <c r="P19" i="10"/>
  <c r="P18" i="10"/>
  <c r="G18" i="10"/>
  <c r="J18" i="10" s="1"/>
  <c r="K18" i="10" s="1"/>
  <c r="G19" i="10"/>
  <c r="G21" i="10"/>
  <c r="R15" i="10"/>
  <c r="AA32" i="10"/>
  <c r="R17" i="10"/>
  <c r="Z32" i="10"/>
  <c r="O32" i="10"/>
  <c r="S32" i="10"/>
  <c r="S28" i="10"/>
  <c r="T28" i="10" s="1"/>
  <c r="S19" i="10"/>
  <c r="T19" i="10" s="1"/>
  <c r="S20" i="10"/>
  <c r="T20" i="10" s="1"/>
  <c r="I14" i="10"/>
  <c r="J14" i="10" s="1"/>
  <c r="K14" i="10" s="1"/>
  <c r="R32" i="10"/>
  <c r="I17" i="10"/>
  <c r="J17" i="10" s="1"/>
  <c r="K17" i="10" s="1"/>
  <c r="S24" i="10"/>
  <c r="T24" i="10" s="1"/>
  <c r="Y31" i="10"/>
  <c r="AC31" i="10" s="1"/>
  <c r="AD31" i="10" s="1"/>
  <c r="S23" i="10"/>
  <c r="T23" i="10" s="1"/>
  <c r="J28" i="10"/>
  <c r="K28" i="10" s="1"/>
  <c r="X32" i="10"/>
  <c r="P14" i="10"/>
  <c r="S14" i="10" s="1"/>
  <c r="T14" i="10" s="1"/>
  <c r="J19" i="10"/>
  <c r="K19" i="10" s="1"/>
  <c r="J20" i="10"/>
  <c r="K20" i="10" s="1"/>
  <c r="J22" i="10"/>
  <c r="K22" i="10" s="1"/>
  <c r="J23" i="10"/>
  <c r="K23" i="10" s="1"/>
  <c r="L32" i="10"/>
  <c r="T32" i="10"/>
  <c r="S27" i="10"/>
  <c r="T27" i="10" s="1"/>
  <c r="S29" i="10"/>
  <c r="T29" i="10" s="1"/>
  <c r="J16" i="10"/>
  <c r="K16" i="10" s="1"/>
  <c r="Y20" i="10"/>
  <c r="AC20" i="10" s="1"/>
  <c r="AD20" i="10" s="1"/>
  <c r="AB26" i="10"/>
  <c r="N32" i="10"/>
  <c r="AB35" i="10"/>
  <c r="AB32" i="10" s="1"/>
  <c r="I35" i="10"/>
  <c r="I32" i="10" s="1"/>
  <c r="K35" i="10"/>
  <c r="K32" i="10" s="1"/>
  <c r="S18" i="10"/>
  <c r="T18" i="10" s="1"/>
  <c r="Y27" i="10"/>
  <c r="AC27" i="10" s="1"/>
  <c r="AD27" i="10" s="1"/>
  <c r="I15" i="10"/>
  <c r="G15" i="10"/>
  <c r="Y15" i="10" s="1"/>
  <c r="AC15" i="10" s="1"/>
  <c r="AD15" i="10" s="1"/>
  <c r="Y23" i="10"/>
  <c r="AC23" i="10" s="1"/>
  <c r="AD23" i="10" s="1"/>
  <c r="S16" i="10"/>
  <c r="T16" i="10" s="1"/>
  <c r="Y19" i="10"/>
  <c r="AC19" i="10" s="1"/>
  <c r="AD19" i="10" s="1"/>
  <c r="J24" i="10"/>
  <c r="K24" i="10" s="1"/>
  <c r="J27" i="10"/>
  <c r="K27" i="10" s="1"/>
  <c r="Y28" i="10"/>
  <c r="AC28" i="10" s="1"/>
  <c r="AD28" i="10" s="1"/>
  <c r="J29" i="10"/>
  <c r="K29" i="10" s="1"/>
  <c r="P32" i="10"/>
  <c r="J30" i="10"/>
  <c r="K30" i="10" s="1"/>
  <c r="M32" i="10"/>
  <c r="Q32" i="10"/>
  <c r="U32" i="10"/>
  <c r="Y32" i="10"/>
  <c r="Y16" i="10"/>
  <c r="AC16" i="10" s="1"/>
  <c r="AD16" i="10" s="1"/>
  <c r="S15" i="10"/>
  <c r="T15" i="10" s="1"/>
  <c r="Y13" i="10"/>
  <c r="AC13" i="10" s="1"/>
  <c r="AD13" i="10" s="1"/>
  <c r="Y12" i="10"/>
  <c r="Y29" i="10"/>
  <c r="AC29" i="10" s="1"/>
  <c r="AD29" i="10" s="1"/>
  <c r="D10" i="10"/>
  <c r="Y17" i="10"/>
  <c r="AC17" i="10" s="1"/>
  <c r="AD17" i="10" s="1"/>
  <c r="Y22" i="10"/>
  <c r="AC22" i="10" s="1"/>
  <c r="AD22" i="10" s="1"/>
  <c r="S22" i="10"/>
  <c r="T22" i="10" s="1"/>
  <c r="Y24" i="10"/>
  <c r="AC24" i="10" s="1"/>
  <c r="AD24" i="10" s="1"/>
  <c r="J26" i="10"/>
  <c r="S30" i="10"/>
  <c r="T30" i="10" s="1"/>
  <c r="Y30" i="10"/>
  <c r="AC30" i="10" s="1"/>
  <c r="AD30" i="10" s="1"/>
  <c r="J12" i="10"/>
  <c r="W12" i="10"/>
  <c r="R12" i="10"/>
  <c r="S13" i="10"/>
  <c r="T13" i="10" s="1"/>
  <c r="S31" i="10"/>
  <c r="T31" i="10" s="1"/>
  <c r="J13" i="10"/>
  <c r="K13" i="10" s="1"/>
  <c r="S17" i="10"/>
  <c r="T17" i="10" s="1"/>
  <c r="Y26" i="10"/>
  <c r="S26" i="10"/>
  <c r="J31" i="10"/>
  <c r="K31" i="10" s="1"/>
  <c r="V35" i="10"/>
  <c r="V32" i="10" s="1"/>
  <c r="E51" i="8"/>
  <c r="F51" i="8"/>
  <c r="H51" i="8"/>
  <c r="L51" i="8"/>
  <c r="M51" i="8"/>
  <c r="N51" i="8"/>
  <c r="O51" i="8"/>
  <c r="Q51" i="8"/>
  <c r="U51" i="8"/>
  <c r="Z51" i="8"/>
  <c r="D51" i="8"/>
  <c r="F11" i="8"/>
  <c r="H11" i="8"/>
  <c r="L11" i="8"/>
  <c r="M11" i="8"/>
  <c r="O11" i="8"/>
  <c r="Q11" i="8"/>
  <c r="U11" i="8"/>
  <c r="Z11" i="8"/>
  <c r="AA11" i="8"/>
  <c r="D11" i="8"/>
  <c r="V118" i="8"/>
  <c r="AC118" i="8" s="1"/>
  <c r="AD118" i="8" s="1"/>
  <c r="S118" i="8"/>
  <c r="T118" i="8" s="1"/>
  <c r="V117" i="8"/>
  <c r="AC117" i="8" s="1"/>
  <c r="AD117" i="8" s="1"/>
  <c r="S117" i="8"/>
  <c r="T117" i="8" s="1"/>
  <c r="P73" i="8"/>
  <c r="G73" i="8"/>
  <c r="P72" i="8"/>
  <c r="G72" i="8"/>
  <c r="V35" i="8"/>
  <c r="I35" i="8"/>
  <c r="AB123" i="8"/>
  <c r="Y123" i="8"/>
  <c r="AC123" i="8" s="1"/>
  <c r="AD123" i="8" s="1"/>
  <c r="V123" i="8"/>
  <c r="I123" i="8"/>
  <c r="G123" i="8"/>
  <c r="J123" i="8" s="1"/>
  <c r="K123" i="8" s="1"/>
  <c r="AC12" i="12" l="1"/>
  <c r="AD12" i="12" s="1"/>
  <c r="AD11" i="12" s="1"/>
  <c r="Y11" i="12"/>
  <c r="AB11" i="12"/>
  <c r="AB10" i="12" s="1"/>
  <c r="AD27" i="12"/>
  <c r="AC27" i="12"/>
  <c r="Y10" i="12"/>
  <c r="K14" i="12"/>
  <c r="K11" i="12" s="1"/>
  <c r="K10" i="12" s="1"/>
  <c r="J11" i="12"/>
  <c r="J10" i="12" s="1"/>
  <c r="AC11" i="12"/>
  <c r="S11" i="12"/>
  <c r="S10" i="12" s="1"/>
  <c r="T11" i="12"/>
  <c r="T10" i="12" s="1"/>
  <c r="Y18" i="10"/>
  <c r="AC18" i="10" s="1"/>
  <c r="AD18" i="10" s="1"/>
  <c r="Y21" i="10"/>
  <c r="AC21" i="10" s="1"/>
  <c r="AD21" i="10" s="1"/>
  <c r="J21" i="10"/>
  <c r="K21" i="10" s="1"/>
  <c r="S21" i="10"/>
  <c r="T21" i="10" s="1"/>
  <c r="J35" i="10"/>
  <c r="J32" i="10" s="1"/>
  <c r="J15" i="10"/>
  <c r="K15" i="10" s="1"/>
  <c r="AD35" i="10"/>
  <c r="AD32" i="10" s="1"/>
  <c r="Y14" i="10"/>
  <c r="AC14" i="10" s="1"/>
  <c r="AD14" i="10" s="1"/>
  <c r="AC26" i="10"/>
  <c r="K12" i="10"/>
  <c r="T26" i="10"/>
  <c r="AB12" i="10"/>
  <c r="S12" i="10"/>
  <c r="K26" i="10"/>
  <c r="P116" i="8"/>
  <c r="Y116" i="8" s="1"/>
  <c r="G116" i="8"/>
  <c r="P115" i="8"/>
  <c r="G115" i="8"/>
  <c r="Y115" i="8" s="1"/>
  <c r="AC115" i="8" s="1"/>
  <c r="AD115" i="8" s="1"/>
  <c r="P114" i="8"/>
  <c r="G114" i="8"/>
  <c r="P113" i="8"/>
  <c r="G113" i="8"/>
  <c r="P112" i="8"/>
  <c r="S112" i="8" s="1"/>
  <c r="T112" i="8" s="1"/>
  <c r="G112" i="8"/>
  <c r="P110" i="8"/>
  <c r="G110" i="8"/>
  <c r="P109" i="8"/>
  <c r="G109" i="8"/>
  <c r="R108" i="8"/>
  <c r="R109" i="8"/>
  <c r="R110" i="8"/>
  <c r="R111" i="8"/>
  <c r="R112" i="8"/>
  <c r="R113" i="8"/>
  <c r="S113" i="8" s="1"/>
  <c r="T113" i="8" s="1"/>
  <c r="R114" i="8"/>
  <c r="R115" i="8"/>
  <c r="S115" i="8" s="1"/>
  <c r="T115" i="8" s="1"/>
  <c r="R116" i="8"/>
  <c r="P108" i="8"/>
  <c r="S108" i="8" s="1"/>
  <c r="T108" i="8" s="1"/>
  <c r="P111" i="8"/>
  <c r="I109" i="8"/>
  <c r="I110" i="8"/>
  <c r="I111" i="8"/>
  <c r="I112" i="8"/>
  <c r="I113" i="8"/>
  <c r="I114" i="8"/>
  <c r="I115" i="8"/>
  <c r="J115" i="8" s="1"/>
  <c r="K115" i="8" s="1"/>
  <c r="I116" i="8"/>
  <c r="G111" i="8"/>
  <c r="P50" i="8"/>
  <c r="G50" i="8"/>
  <c r="P49" i="8"/>
  <c r="G49" i="8"/>
  <c r="R105" i="8"/>
  <c r="R106" i="8"/>
  <c r="R107" i="8"/>
  <c r="P105" i="8"/>
  <c r="P106" i="8"/>
  <c r="P107" i="8"/>
  <c r="I106" i="8"/>
  <c r="I107" i="8"/>
  <c r="I108" i="8"/>
  <c r="G105" i="8"/>
  <c r="G106" i="8"/>
  <c r="J106" i="8" s="1"/>
  <c r="K106" i="8" s="1"/>
  <c r="G107" i="8"/>
  <c r="J107" i="8" s="1"/>
  <c r="K107" i="8" s="1"/>
  <c r="G108" i="8"/>
  <c r="J108" i="8" s="1"/>
  <c r="K108" i="8" s="1"/>
  <c r="I105" i="8"/>
  <c r="P104" i="8"/>
  <c r="G104" i="8"/>
  <c r="P103" i="8"/>
  <c r="G103" i="8"/>
  <c r="P102" i="8"/>
  <c r="G102" i="8"/>
  <c r="P101" i="8"/>
  <c r="G101" i="8"/>
  <c r="P100" i="8"/>
  <c r="G100" i="8"/>
  <c r="P99" i="8"/>
  <c r="G99" i="8"/>
  <c r="P98" i="8"/>
  <c r="G98" i="8"/>
  <c r="P48" i="8"/>
  <c r="Y48" i="8" s="1"/>
  <c r="AC48" i="8" s="1"/>
  <c r="AD48" i="8" s="1"/>
  <c r="G48" i="8"/>
  <c r="R50" i="8"/>
  <c r="I50" i="8"/>
  <c r="P47" i="8"/>
  <c r="N47" i="8"/>
  <c r="R47" i="8" s="1"/>
  <c r="E47" i="8"/>
  <c r="G47" i="8" s="1"/>
  <c r="R48" i="8"/>
  <c r="R49" i="8"/>
  <c r="S49" i="8" s="1"/>
  <c r="T49" i="8" s="1"/>
  <c r="I48" i="8"/>
  <c r="I49" i="8"/>
  <c r="P97" i="8"/>
  <c r="G97" i="8"/>
  <c r="R98" i="8"/>
  <c r="R99" i="8"/>
  <c r="S99" i="8" s="1"/>
  <c r="T99" i="8" s="1"/>
  <c r="R100" i="8"/>
  <c r="R101" i="8"/>
  <c r="R102" i="8"/>
  <c r="S102" i="8" s="1"/>
  <c r="T102" i="8" s="1"/>
  <c r="R103" i="8"/>
  <c r="S103" i="8" s="1"/>
  <c r="T103" i="8" s="1"/>
  <c r="R104" i="8"/>
  <c r="I98" i="8"/>
  <c r="I99" i="8"/>
  <c r="I100" i="8"/>
  <c r="I101" i="8"/>
  <c r="J101" i="8" s="1"/>
  <c r="K101" i="8" s="1"/>
  <c r="I102" i="8"/>
  <c r="I103" i="8"/>
  <c r="I104" i="8"/>
  <c r="P96" i="8"/>
  <c r="G96" i="8"/>
  <c r="P95" i="8"/>
  <c r="G95" i="8"/>
  <c r="P94" i="8"/>
  <c r="G94" i="8"/>
  <c r="P93" i="8"/>
  <c r="G93" i="8"/>
  <c r="Y97" i="8"/>
  <c r="AC97" i="8" s="1"/>
  <c r="AD97" i="8" s="1"/>
  <c r="R93" i="8"/>
  <c r="R94" i="8"/>
  <c r="R95" i="8"/>
  <c r="S95" i="8" s="1"/>
  <c r="T95" i="8" s="1"/>
  <c r="R96" i="8"/>
  <c r="S96" i="8" s="1"/>
  <c r="T96" i="8" s="1"/>
  <c r="R97" i="8"/>
  <c r="I94" i="8"/>
  <c r="I95" i="8"/>
  <c r="I96" i="8"/>
  <c r="J96" i="8" s="1"/>
  <c r="K96" i="8" s="1"/>
  <c r="I97" i="8"/>
  <c r="I93" i="8"/>
  <c r="P92" i="8"/>
  <c r="Y92" i="8" s="1"/>
  <c r="AC92" i="8" s="1"/>
  <c r="AD92" i="8" s="1"/>
  <c r="G92" i="8"/>
  <c r="P91" i="8"/>
  <c r="G91" i="8"/>
  <c r="Y91" i="8" s="1"/>
  <c r="AC91" i="8" s="1"/>
  <c r="AD91" i="8" s="1"/>
  <c r="P90" i="8"/>
  <c r="S90" i="8" s="1"/>
  <c r="T90" i="8" s="1"/>
  <c r="G90" i="8"/>
  <c r="P89" i="8"/>
  <c r="G89" i="8"/>
  <c r="R90" i="8"/>
  <c r="R91" i="8"/>
  <c r="R92" i="8"/>
  <c r="I90" i="8"/>
  <c r="I91" i="8"/>
  <c r="I92" i="8"/>
  <c r="P88" i="8"/>
  <c r="G88" i="8"/>
  <c r="P46" i="8"/>
  <c r="G46" i="8"/>
  <c r="P45" i="8"/>
  <c r="G45" i="8"/>
  <c r="P44" i="8"/>
  <c r="G44" i="8"/>
  <c r="R45" i="8"/>
  <c r="S45" i="8" s="1"/>
  <c r="T45" i="8" s="1"/>
  <c r="R46" i="8"/>
  <c r="S46" i="8" s="1"/>
  <c r="T46" i="8" s="1"/>
  <c r="I45" i="8"/>
  <c r="I46" i="8"/>
  <c r="J46" i="8" s="1"/>
  <c r="K46" i="8" s="1"/>
  <c r="I47" i="8"/>
  <c r="P43" i="8"/>
  <c r="G43" i="8"/>
  <c r="P87" i="8"/>
  <c r="Y87" i="8" s="1"/>
  <c r="AC87" i="8" s="1"/>
  <c r="AD87" i="8" s="1"/>
  <c r="G87" i="8"/>
  <c r="P85" i="8"/>
  <c r="G85" i="8"/>
  <c r="P84" i="8"/>
  <c r="G84" i="8"/>
  <c r="P82" i="8"/>
  <c r="G82" i="8"/>
  <c r="P81" i="8"/>
  <c r="G81" i="8"/>
  <c r="P80" i="8"/>
  <c r="G80" i="8"/>
  <c r="P42" i="8"/>
  <c r="G42" i="8"/>
  <c r="P41" i="8"/>
  <c r="G41" i="8"/>
  <c r="R42" i="8"/>
  <c r="S42" i="8" s="1"/>
  <c r="T42" i="8" s="1"/>
  <c r="R43" i="8"/>
  <c r="R44" i="8"/>
  <c r="S44" i="8" s="1"/>
  <c r="T44" i="8" s="1"/>
  <c r="I42" i="8"/>
  <c r="I43" i="8"/>
  <c r="J43" i="8" s="1"/>
  <c r="K43" i="8" s="1"/>
  <c r="I44" i="8"/>
  <c r="P40" i="8"/>
  <c r="G40" i="8"/>
  <c r="P39" i="8"/>
  <c r="G39" i="8"/>
  <c r="P38" i="8"/>
  <c r="G38" i="8"/>
  <c r="P37" i="8"/>
  <c r="G37" i="8"/>
  <c r="P36" i="8"/>
  <c r="G36" i="8"/>
  <c r="P35" i="8"/>
  <c r="G35" i="8"/>
  <c r="P34" i="8"/>
  <c r="G34" i="8"/>
  <c r="P79" i="8"/>
  <c r="G79" i="8"/>
  <c r="P33" i="8"/>
  <c r="G33" i="8"/>
  <c r="R81" i="8"/>
  <c r="R82" i="8"/>
  <c r="S82" i="8" s="1"/>
  <c r="T82" i="8" s="1"/>
  <c r="R83" i="8"/>
  <c r="R84" i="8"/>
  <c r="R85" i="8"/>
  <c r="S85" i="8" s="1"/>
  <c r="T85" i="8" s="1"/>
  <c r="R86" i="8"/>
  <c r="R87" i="8"/>
  <c r="R88" i="8"/>
  <c r="R89" i="8"/>
  <c r="S89" i="8" s="1"/>
  <c r="T89" i="8" s="1"/>
  <c r="P83" i="8"/>
  <c r="P86" i="8"/>
  <c r="I88" i="8"/>
  <c r="I89" i="8"/>
  <c r="J89" i="8" s="1"/>
  <c r="K89" i="8" s="1"/>
  <c r="I81" i="8"/>
  <c r="I82" i="8"/>
  <c r="I83" i="8"/>
  <c r="I84" i="8"/>
  <c r="J84" i="8" s="1"/>
  <c r="K84" i="8" s="1"/>
  <c r="I85" i="8"/>
  <c r="I86" i="8"/>
  <c r="I87" i="8"/>
  <c r="G83" i="8"/>
  <c r="G86" i="8"/>
  <c r="P78" i="8"/>
  <c r="G78" i="8"/>
  <c r="P77" i="8"/>
  <c r="G77" i="8"/>
  <c r="AC10" i="12" l="1"/>
  <c r="AD10" i="12"/>
  <c r="AC35" i="10"/>
  <c r="AC32" i="10" s="1"/>
  <c r="AD26" i="10"/>
  <c r="T12" i="10"/>
  <c r="AC12" i="10"/>
  <c r="S88" i="8"/>
  <c r="T88" i="8" s="1"/>
  <c r="J42" i="8"/>
  <c r="K42" i="8" s="1"/>
  <c r="J45" i="8"/>
  <c r="K45" i="8" s="1"/>
  <c r="S94" i="8"/>
  <c r="T94" i="8" s="1"/>
  <c r="J99" i="8"/>
  <c r="K99" i="8" s="1"/>
  <c r="S87" i="8"/>
  <c r="T87" i="8" s="1"/>
  <c r="Y82" i="8"/>
  <c r="AC82" i="8" s="1"/>
  <c r="AD82" i="8" s="1"/>
  <c r="Y85" i="8"/>
  <c r="AC85" i="8" s="1"/>
  <c r="AD85" i="8" s="1"/>
  <c r="S92" i="8"/>
  <c r="T92" i="8" s="1"/>
  <c r="S97" i="8"/>
  <c r="T97" i="8" s="1"/>
  <c r="Y96" i="8"/>
  <c r="AC96" i="8" s="1"/>
  <c r="AD96" i="8" s="1"/>
  <c r="J98" i="8"/>
  <c r="K98" i="8" s="1"/>
  <c r="S50" i="8"/>
  <c r="T50" i="8" s="1"/>
  <c r="Y98" i="8"/>
  <c r="AC98" i="8" s="1"/>
  <c r="AD98" i="8" s="1"/>
  <c r="Y112" i="8"/>
  <c r="AC112" i="8" s="1"/>
  <c r="AD112" i="8" s="1"/>
  <c r="J109" i="8"/>
  <c r="K109" i="8" s="1"/>
  <c r="Y113" i="8"/>
  <c r="AC113" i="8" s="1"/>
  <c r="AD113" i="8" s="1"/>
  <c r="J47" i="8"/>
  <c r="K47" i="8" s="1"/>
  <c r="S83" i="8"/>
  <c r="T83" i="8" s="1"/>
  <c r="S106" i="8"/>
  <c r="T106" i="8" s="1"/>
  <c r="J111" i="8"/>
  <c r="K111" i="8" s="1"/>
  <c r="S110" i="8"/>
  <c r="T110" i="8" s="1"/>
  <c r="S109" i="8"/>
  <c r="T109" i="8" s="1"/>
  <c r="Y108" i="8"/>
  <c r="AC108" i="8" s="1"/>
  <c r="AD108" i="8" s="1"/>
  <c r="Y111" i="8"/>
  <c r="AC111" i="8" s="1"/>
  <c r="AD111" i="8" s="1"/>
  <c r="S47" i="8"/>
  <c r="T47" i="8" s="1"/>
  <c r="S107" i="8"/>
  <c r="T107" i="8" s="1"/>
  <c r="S116" i="8"/>
  <c r="T116" i="8" s="1"/>
  <c r="J116" i="8"/>
  <c r="K116" i="8" s="1"/>
  <c r="S114" i="8"/>
  <c r="T114" i="8" s="1"/>
  <c r="Y114" i="8"/>
  <c r="AC114" i="8" s="1"/>
  <c r="AD114" i="8" s="1"/>
  <c r="J114" i="8"/>
  <c r="K114" i="8" s="1"/>
  <c r="J113" i="8"/>
  <c r="K113" i="8" s="1"/>
  <c r="J112" i="8"/>
  <c r="K112" i="8" s="1"/>
  <c r="S111" i="8"/>
  <c r="T111" i="8" s="1"/>
  <c r="Y110" i="8"/>
  <c r="AC110" i="8" s="1"/>
  <c r="AD110" i="8" s="1"/>
  <c r="J110" i="8"/>
  <c r="K110" i="8" s="1"/>
  <c r="Y109" i="8"/>
  <c r="AC109" i="8" s="1"/>
  <c r="AD109" i="8" s="1"/>
  <c r="S84" i="8"/>
  <c r="T84" i="8" s="1"/>
  <c r="S91" i="8"/>
  <c r="T91" i="8" s="1"/>
  <c r="J104" i="8"/>
  <c r="K104" i="8" s="1"/>
  <c r="S100" i="8"/>
  <c r="T100" i="8" s="1"/>
  <c r="S104" i="8"/>
  <c r="T104" i="8" s="1"/>
  <c r="J86" i="8"/>
  <c r="K86" i="8" s="1"/>
  <c r="J105" i="8"/>
  <c r="K105" i="8" s="1"/>
  <c r="S81" i="8"/>
  <c r="T81" i="8" s="1"/>
  <c r="J85" i="8"/>
  <c r="K85" i="8" s="1"/>
  <c r="Y105" i="8"/>
  <c r="AC105" i="8" s="1"/>
  <c r="AD105" i="8" s="1"/>
  <c r="S93" i="8"/>
  <c r="T93" i="8" s="1"/>
  <c r="J83" i="8"/>
  <c r="K83" i="8" s="1"/>
  <c r="S43" i="8"/>
  <c r="T43" i="8" s="1"/>
  <c r="J44" i="8"/>
  <c r="K44" i="8" s="1"/>
  <c r="J93" i="8"/>
  <c r="K93" i="8" s="1"/>
  <c r="S101" i="8"/>
  <c r="T101" i="8" s="1"/>
  <c r="Y50" i="8"/>
  <c r="AC50" i="8" s="1"/>
  <c r="AD50" i="8" s="1"/>
  <c r="J50" i="8"/>
  <c r="K50" i="8" s="1"/>
  <c r="Y49" i="8"/>
  <c r="AC49" i="8" s="1"/>
  <c r="AD49" i="8" s="1"/>
  <c r="J49" i="8"/>
  <c r="K49" i="8" s="1"/>
  <c r="Y107" i="8"/>
  <c r="AC107" i="8" s="1"/>
  <c r="AD107" i="8" s="1"/>
  <c r="Y106" i="8"/>
  <c r="AC106" i="8" s="1"/>
  <c r="AD106" i="8" s="1"/>
  <c r="S105" i="8"/>
  <c r="T105" i="8" s="1"/>
  <c r="Y104" i="8"/>
  <c r="AC104" i="8" s="1"/>
  <c r="AD104" i="8" s="1"/>
  <c r="Y103" i="8"/>
  <c r="AC103" i="8" s="1"/>
  <c r="AD103" i="8" s="1"/>
  <c r="J103" i="8"/>
  <c r="K103" i="8" s="1"/>
  <c r="Y102" i="8"/>
  <c r="AC102" i="8" s="1"/>
  <c r="AD102" i="8" s="1"/>
  <c r="J102" i="8"/>
  <c r="K102" i="8" s="1"/>
  <c r="Y101" i="8"/>
  <c r="AC101" i="8" s="1"/>
  <c r="AD101" i="8" s="1"/>
  <c r="J100" i="8"/>
  <c r="K100" i="8" s="1"/>
  <c r="Y100" i="8"/>
  <c r="AC100" i="8" s="1"/>
  <c r="AD100" i="8" s="1"/>
  <c r="Y99" i="8"/>
  <c r="AC99" i="8" s="1"/>
  <c r="AD99" i="8" s="1"/>
  <c r="S98" i="8"/>
  <c r="T98" i="8" s="1"/>
  <c r="S48" i="8"/>
  <c r="T48" i="8" s="1"/>
  <c r="J48" i="8"/>
  <c r="K48" i="8" s="1"/>
  <c r="Y47" i="8"/>
  <c r="AC47" i="8" s="1"/>
  <c r="AD47" i="8" s="1"/>
  <c r="J97" i="8"/>
  <c r="K97" i="8" s="1"/>
  <c r="Y95" i="8"/>
  <c r="AC95" i="8" s="1"/>
  <c r="AD95" i="8" s="1"/>
  <c r="J95" i="8"/>
  <c r="K95" i="8" s="1"/>
  <c r="Y94" i="8"/>
  <c r="AC94" i="8" s="1"/>
  <c r="AD94" i="8" s="1"/>
  <c r="J94" i="8"/>
  <c r="K94" i="8" s="1"/>
  <c r="Y93" i="8"/>
  <c r="AC93" i="8" s="1"/>
  <c r="AD93" i="8" s="1"/>
  <c r="J92" i="8"/>
  <c r="K92" i="8" s="1"/>
  <c r="J91" i="8"/>
  <c r="K91" i="8" s="1"/>
  <c r="Y90" i="8"/>
  <c r="AC90" i="8" s="1"/>
  <c r="AD90" i="8" s="1"/>
  <c r="J90" i="8"/>
  <c r="K90" i="8" s="1"/>
  <c r="J88" i="8"/>
  <c r="K88" i="8" s="1"/>
  <c r="Y46" i="8"/>
  <c r="AC46" i="8" s="1"/>
  <c r="AD46" i="8" s="1"/>
  <c r="Y45" i="8"/>
  <c r="AC45" i="8" s="1"/>
  <c r="AD45" i="8" s="1"/>
  <c r="Y44" i="8"/>
  <c r="AC44" i="8" s="1"/>
  <c r="AD44" i="8" s="1"/>
  <c r="Y89" i="8"/>
  <c r="AC89" i="8" s="1"/>
  <c r="AD89" i="8" s="1"/>
  <c r="Y88" i="8"/>
  <c r="AC88" i="8" s="1"/>
  <c r="AD88" i="8" s="1"/>
  <c r="Y86" i="8"/>
  <c r="AC86" i="8" s="1"/>
  <c r="AD86" i="8" s="1"/>
  <c r="S86" i="8"/>
  <c r="T86" i="8" s="1"/>
  <c r="Y43" i="8"/>
  <c r="AC43" i="8" s="1"/>
  <c r="AD43" i="8" s="1"/>
  <c r="J87" i="8"/>
  <c r="K87" i="8" s="1"/>
  <c r="Y84" i="8"/>
  <c r="AC84" i="8" s="1"/>
  <c r="AD84" i="8" s="1"/>
  <c r="Y83" i="8"/>
  <c r="AC83" i="8" s="1"/>
  <c r="AD83" i="8" s="1"/>
  <c r="J82" i="8"/>
  <c r="K82" i="8" s="1"/>
  <c r="Y81" i="8"/>
  <c r="AC81" i="8" s="1"/>
  <c r="AD81" i="8" s="1"/>
  <c r="J81" i="8"/>
  <c r="K81" i="8" s="1"/>
  <c r="Y42" i="8"/>
  <c r="AC42" i="8" s="1"/>
  <c r="AD42" i="8" s="1"/>
  <c r="P76" i="8"/>
  <c r="G76" i="8"/>
  <c r="P75" i="8"/>
  <c r="G75" i="8"/>
  <c r="P71" i="8"/>
  <c r="G71" i="8"/>
  <c r="P70" i="8"/>
  <c r="G70" i="8"/>
  <c r="P69" i="8"/>
  <c r="G69" i="8"/>
  <c r="Y69" i="8" s="1"/>
  <c r="AC69" i="8" s="1"/>
  <c r="AD69" i="8" s="1"/>
  <c r="P68" i="8"/>
  <c r="G68" i="8"/>
  <c r="P67" i="8"/>
  <c r="G67" i="8"/>
  <c r="Y67" i="8" s="1"/>
  <c r="AC67" i="8" s="1"/>
  <c r="AD67" i="8" s="1"/>
  <c r="P66" i="8"/>
  <c r="G66" i="8"/>
  <c r="P62" i="8"/>
  <c r="G62" i="8"/>
  <c r="P61" i="8"/>
  <c r="G61" i="8"/>
  <c r="P60" i="8"/>
  <c r="G60" i="8"/>
  <c r="P59" i="8"/>
  <c r="G59" i="8"/>
  <c r="P58" i="8"/>
  <c r="G58" i="8"/>
  <c r="P57" i="8"/>
  <c r="G57" i="8"/>
  <c r="P32" i="8"/>
  <c r="G32" i="8"/>
  <c r="P56" i="8"/>
  <c r="G56" i="8"/>
  <c r="P55" i="8"/>
  <c r="G55" i="8"/>
  <c r="R29" i="8"/>
  <c r="R30" i="8"/>
  <c r="R31" i="8"/>
  <c r="R32" i="8"/>
  <c r="R33" i="8"/>
  <c r="R34" i="8"/>
  <c r="R35" i="8"/>
  <c r="R36" i="8"/>
  <c r="S36" i="8" s="1"/>
  <c r="T36" i="8" s="1"/>
  <c r="R37" i="8"/>
  <c r="R38" i="8"/>
  <c r="R39" i="8"/>
  <c r="R40" i="8"/>
  <c r="R41" i="8"/>
  <c r="P29" i="8"/>
  <c r="P30" i="8"/>
  <c r="P31" i="8"/>
  <c r="S33" i="8"/>
  <c r="T33" i="8" s="1"/>
  <c r="S34" i="8"/>
  <c r="T34" i="8" s="1"/>
  <c r="I29" i="8"/>
  <c r="I30" i="8"/>
  <c r="I31" i="8"/>
  <c r="I32" i="8"/>
  <c r="I33" i="8"/>
  <c r="J33" i="8" s="1"/>
  <c r="K33" i="8" s="1"/>
  <c r="I34" i="8"/>
  <c r="J34" i="8" s="1"/>
  <c r="K34" i="8" s="1"/>
  <c r="I36" i="8"/>
  <c r="I37" i="8"/>
  <c r="I38" i="8"/>
  <c r="J38" i="8" s="1"/>
  <c r="K38" i="8" s="1"/>
  <c r="I39" i="8"/>
  <c r="J39" i="8" s="1"/>
  <c r="K39" i="8" s="1"/>
  <c r="I40" i="8"/>
  <c r="J40" i="8" s="1"/>
  <c r="K40" i="8" s="1"/>
  <c r="I41" i="8"/>
  <c r="J41" i="8" s="1"/>
  <c r="K41" i="8" s="1"/>
  <c r="G29" i="8"/>
  <c r="G30" i="8"/>
  <c r="G31" i="8"/>
  <c r="J35" i="8"/>
  <c r="K35" i="8" s="1"/>
  <c r="P28" i="8"/>
  <c r="G28" i="8"/>
  <c r="P27" i="8"/>
  <c r="G27" i="8"/>
  <c r="P54" i="8"/>
  <c r="G54" i="8"/>
  <c r="P53" i="8"/>
  <c r="G53" i="8"/>
  <c r="R53" i="8"/>
  <c r="R54" i="8"/>
  <c r="R55" i="8"/>
  <c r="S55" i="8" s="1"/>
  <c r="T55" i="8" s="1"/>
  <c r="R56" i="8"/>
  <c r="R57" i="8"/>
  <c r="S57" i="8" s="1"/>
  <c r="T57" i="8" s="1"/>
  <c r="R58" i="8"/>
  <c r="R59" i="8"/>
  <c r="S59" i="8" s="1"/>
  <c r="T59" i="8" s="1"/>
  <c r="R60" i="8"/>
  <c r="R61" i="8"/>
  <c r="S61" i="8" s="1"/>
  <c r="T61" i="8" s="1"/>
  <c r="R62" i="8"/>
  <c r="R63" i="8"/>
  <c r="R64" i="8"/>
  <c r="R65" i="8"/>
  <c r="R66" i="8"/>
  <c r="S66" i="8" s="1"/>
  <c r="T66" i="8" s="1"/>
  <c r="R67" i="8"/>
  <c r="S67" i="8" s="1"/>
  <c r="T67" i="8" s="1"/>
  <c r="R68" i="8"/>
  <c r="S68" i="8" s="1"/>
  <c r="T68" i="8" s="1"/>
  <c r="R69" i="8"/>
  <c r="S69" i="8" s="1"/>
  <c r="T69" i="8" s="1"/>
  <c r="R70" i="8"/>
  <c r="S70" i="8" s="1"/>
  <c r="T70" i="8" s="1"/>
  <c r="R71" i="8"/>
  <c r="S71" i="8" s="1"/>
  <c r="T71" i="8" s="1"/>
  <c r="R72" i="8"/>
  <c r="R73" i="8"/>
  <c r="R74" i="8"/>
  <c r="R75" i="8"/>
  <c r="S75" i="8" s="1"/>
  <c r="T75" i="8" s="1"/>
  <c r="R76" i="8"/>
  <c r="R77" i="8"/>
  <c r="S77" i="8" s="1"/>
  <c r="T77" i="8" s="1"/>
  <c r="R78" i="8"/>
  <c r="S78" i="8" s="1"/>
  <c r="T78" i="8" s="1"/>
  <c r="R79" i="8"/>
  <c r="R80" i="8"/>
  <c r="S54" i="8"/>
  <c r="T54" i="8" s="1"/>
  <c r="P63" i="8"/>
  <c r="P64" i="8"/>
  <c r="P65" i="8"/>
  <c r="P74" i="8"/>
  <c r="Y76" i="8"/>
  <c r="AC76" i="8" s="1"/>
  <c r="AD76" i="8" s="1"/>
  <c r="I53" i="8"/>
  <c r="J53" i="8" s="1"/>
  <c r="K53" i="8" s="1"/>
  <c r="I54" i="8"/>
  <c r="J54" i="8" s="1"/>
  <c r="K54" i="8" s="1"/>
  <c r="I55" i="8"/>
  <c r="I57" i="8"/>
  <c r="J57" i="8" s="1"/>
  <c r="K57" i="8" s="1"/>
  <c r="I58" i="8"/>
  <c r="I59" i="8"/>
  <c r="I60" i="8"/>
  <c r="I61" i="8"/>
  <c r="J61" i="8" s="1"/>
  <c r="K61" i="8" s="1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J77" i="8" s="1"/>
  <c r="K77" i="8" s="1"/>
  <c r="I78" i="8"/>
  <c r="J78" i="8" s="1"/>
  <c r="K78" i="8" s="1"/>
  <c r="I79" i="8"/>
  <c r="I80" i="8"/>
  <c r="G63" i="8"/>
  <c r="G64" i="8"/>
  <c r="G65" i="8"/>
  <c r="Y68" i="8"/>
  <c r="AC68" i="8" s="1"/>
  <c r="AD68" i="8" s="1"/>
  <c r="Y70" i="8"/>
  <c r="AC70" i="8" s="1"/>
  <c r="AD70" i="8" s="1"/>
  <c r="G74" i="8"/>
  <c r="Y78" i="8"/>
  <c r="AC78" i="8" s="1"/>
  <c r="AD78" i="8" s="1"/>
  <c r="P26" i="8"/>
  <c r="G26" i="8"/>
  <c r="P25" i="8"/>
  <c r="G25" i="8"/>
  <c r="P24" i="8"/>
  <c r="G24" i="8"/>
  <c r="P23" i="8"/>
  <c r="G23" i="8"/>
  <c r="P22" i="8"/>
  <c r="G22" i="8"/>
  <c r="R22" i="8"/>
  <c r="R23" i="8"/>
  <c r="R24" i="8"/>
  <c r="S24" i="8" s="1"/>
  <c r="T24" i="8" s="1"/>
  <c r="R25" i="8"/>
  <c r="R26" i="8"/>
  <c r="R27" i="8"/>
  <c r="R28" i="8"/>
  <c r="I22" i="8"/>
  <c r="I23" i="8"/>
  <c r="I24" i="8"/>
  <c r="I25" i="8"/>
  <c r="I26" i="8"/>
  <c r="I27" i="8"/>
  <c r="I28" i="8"/>
  <c r="P19" i="8"/>
  <c r="G19" i="8"/>
  <c r="P18" i="8"/>
  <c r="G18" i="8"/>
  <c r="P16" i="8"/>
  <c r="G16" i="8"/>
  <c r="R17" i="8"/>
  <c r="R18" i="8"/>
  <c r="R19" i="8"/>
  <c r="R20" i="8"/>
  <c r="R21" i="8"/>
  <c r="P17" i="8"/>
  <c r="P20" i="8"/>
  <c r="P21" i="8"/>
  <c r="I17" i="8"/>
  <c r="I18" i="8"/>
  <c r="I19" i="8"/>
  <c r="I20" i="8"/>
  <c r="I21" i="8"/>
  <c r="G17" i="8"/>
  <c r="G20" i="8"/>
  <c r="G21" i="8"/>
  <c r="P15" i="8"/>
  <c r="G15" i="8"/>
  <c r="P14" i="8"/>
  <c r="G14" i="8"/>
  <c r="P13" i="8"/>
  <c r="G13" i="8"/>
  <c r="R16" i="8"/>
  <c r="S16" i="8" s="1"/>
  <c r="T16" i="8" s="1"/>
  <c r="R13" i="8"/>
  <c r="R14" i="8"/>
  <c r="R15" i="8"/>
  <c r="I13" i="8"/>
  <c r="I14" i="8"/>
  <c r="I15" i="8"/>
  <c r="I16" i="8"/>
  <c r="P52" i="8"/>
  <c r="G52" i="8"/>
  <c r="G51" i="8" s="1"/>
  <c r="N12" i="8"/>
  <c r="N11" i="8" s="1"/>
  <c r="E12" i="8"/>
  <c r="E11" i="8" s="1"/>
  <c r="I122" i="8"/>
  <c r="AB122" i="8"/>
  <c r="AA122" i="8"/>
  <c r="Z122" i="8"/>
  <c r="Y122" i="8"/>
  <c r="X122" i="8"/>
  <c r="W122" i="8"/>
  <c r="V122" i="8"/>
  <c r="U122" i="8"/>
  <c r="T122" i="8"/>
  <c r="T119" i="8" s="1"/>
  <c r="S122" i="8"/>
  <c r="R122" i="8"/>
  <c r="Q122" i="8"/>
  <c r="P122" i="8"/>
  <c r="O122" i="8"/>
  <c r="N122" i="8"/>
  <c r="M122" i="8"/>
  <c r="L122" i="8"/>
  <c r="H122" i="8"/>
  <c r="G122" i="8"/>
  <c r="F122" i="8"/>
  <c r="E122" i="8"/>
  <c r="D122" i="8"/>
  <c r="AE120" i="8"/>
  <c r="AD120" i="8"/>
  <c r="AC120" i="8"/>
  <c r="AB120" i="8"/>
  <c r="AA120" i="8"/>
  <c r="AA119" i="8" s="1"/>
  <c r="Z120" i="8"/>
  <c r="Y120" i="8"/>
  <c r="Y119" i="8" s="1"/>
  <c r="X120" i="8"/>
  <c r="W120" i="8"/>
  <c r="W119" i="8" s="1"/>
  <c r="V120" i="8"/>
  <c r="U120" i="8"/>
  <c r="T120" i="8"/>
  <c r="S120" i="8"/>
  <c r="S119" i="8" s="1"/>
  <c r="R120" i="8"/>
  <c r="Q120" i="8"/>
  <c r="P120" i="8"/>
  <c r="P119" i="8" s="1"/>
  <c r="O120" i="8"/>
  <c r="O119" i="8" s="1"/>
  <c r="N120" i="8"/>
  <c r="M120" i="8"/>
  <c r="L120" i="8"/>
  <c r="K120" i="8"/>
  <c r="J120" i="8"/>
  <c r="I120" i="8"/>
  <c r="H120" i="8"/>
  <c r="G120" i="8"/>
  <c r="G119" i="8" s="1"/>
  <c r="F120" i="8"/>
  <c r="F119" i="8" s="1"/>
  <c r="E120" i="8"/>
  <c r="D120" i="8"/>
  <c r="AB119" i="8"/>
  <c r="X119" i="8"/>
  <c r="Q119" i="8"/>
  <c r="L119" i="8"/>
  <c r="H119" i="8"/>
  <c r="E119" i="8"/>
  <c r="AA116" i="8"/>
  <c r="AA51" i="8" s="1"/>
  <c r="V116" i="8"/>
  <c r="V56" i="8"/>
  <c r="V55" i="8"/>
  <c r="V54" i="8"/>
  <c r="W53" i="8"/>
  <c r="V53" i="8"/>
  <c r="X52" i="8"/>
  <c r="X51" i="8" s="1"/>
  <c r="V52" i="8"/>
  <c r="Z10" i="8"/>
  <c r="X12" i="8"/>
  <c r="X11" i="8" s="1"/>
  <c r="V12" i="8"/>
  <c r="V11" i="8" s="1"/>
  <c r="Q10" i="8"/>
  <c r="L10" i="8"/>
  <c r="H10" i="8"/>
  <c r="AA10" i="8"/>
  <c r="AD12" i="10" l="1"/>
  <c r="R12" i="8"/>
  <c r="R11" i="8" s="1"/>
  <c r="V51" i="8"/>
  <c r="N119" i="8"/>
  <c r="R119" i="8"/>
  <c r="Z119" i="8"/>
  <c r="M119" i="8"/>
  <c r="U119" i="8"/>
  <c r="I119" i="8"/>
  <c r="P12" i="8"/>
  <c r="P11" i="8" s="1"/>
  <c r="J15" i="8"/>
  <c r="K15" i="8" s="1"/>
  <c r="J60" i="8"/>
  <c r="K60" i="8" s="1"/>
  <c r="Y66" i="8"/>
  <c r="AC66" i="8" s="1"/>
  <c r="AD66" i="8" s="1"/>
  <c r="D119" i="8"/>
  <c r="G12" i="8"/>
  <c r="G11" i="8" s="1"/>
  <c r="P51" i="8"/>
  <c r="P10" i="8" s="1"/>
  <c r="Y19" i="8"/>
  <c r="AC19" i="8" s="1"/>
  <c r="AD19" i="8" s="1"/>
  <c r="J62" i="8"/>
  <c r="K62" i="8" s="1"/>
  <c r="S72" i="8"/>
  <c r="T72" i="8" s="1"/>
  <c r="V119" i="8"/>
  <c r="AC116" i="8"/>
  <c r="AD116" i="8" s="1"/>
  <c r="S29" i="8"/>
  <c r="T29" i="8" s="1"/>
  <c r="S41" i="8"/>
  <c r="T41" i="8" s="1"/>
  <c r="S38" i="8"/>
  <c r="T38" i="8" s="1"/>
  <c r="S37" i="8"/>
  <c r="T37" i="8" s="1"/>
  <c r="J37" i="8"/>
  <c r="K37" i="8" s="1"/>
  <c r="J36" i="8"/>
  <c r="K36" i="8" s="1"/>
  <c r="J72" i="8"/>
  <c r="K72" i="8" s="1"/>
  <c r="S65" i="8"/>
  <c r="T65" i="8" s="1"/>
  <c r="S80" i="8"/>
  <c r="T80" i="8" s="1"/>
  <c r="Y73" i="8"/>
  <c r="AC73" i="8" s="1"/>
  <c r="AD73" i="8" s="1"/>
  <c r="S64" i="8"/>
  <c r="T64" i="8" s="1"/>
  <c r="J74" i="8"/>
  <c r="K74" i="8" s="1"/>
  <c r="J73" i="8"/>
  <c r="K73" i="8" s="1"/>
  <c r="Y34" i="8"/>
  <c r="AC34" i="8" s="1"/>
  <c r="AD34" i="8" s="1"/>
  <c r="Y33" i="8"/>
  <c r="AC33" i="8" s="1"/>
  <c r="AD33" i="8" s="1"/>
  <c r="J80" i="8"/>
  <c r="K80" i="8" s="1"/>
  <c r="J65" i="8"/>
  <c r="K65" i="8" s="1"/>
  <c r="J79" i="8"/>
  <c r="K79" i="8" s="1"/>
  <c r="J30" i="8"/>
  <c r="K30" i="8" s="1"/>
  <c r="S30" i="8"/>
  <c r="T30" i="8" s="1"/>
  <c r="Y41" i="8"/>
  <c r="AC41" i="8" s="1"/>
  <c r="AD41" i="8" s="1"/>
  <c r="Y39" i="8"/>
  <c r="AC39" i="8" s="1"/>
  <c r="AD39" i="8" s="1"/>
  <c r="Y35" i="8"/>
  <c r="AC35" i="8" s="1"/>
  <c r="AD35" i="8" s="1"/>
  <c r="S63" i="8"/>
  <c r="T63" i="8" s="1"/>
  <c r="Y64" i="8"/>
  <c r="AC64" i="8" s="1"/>
  <c r="AD64" i="8" s="1"/>
  <c r="Y79" i="8"/>
  <c r="AC79" i="8" s="1"/>
  <c r="AD79" i="8" s="1"/>
  <c r="S73" i="8"/>
  <c r="T73" i="8" s="1"/>
  <c r="Y38" i="8"/>
  <c r="AC38" i="8" s="1"/>
  <c r="AD38" i="8" s="1"/>
  <c r="J31" i="8"/>
  <c r="K31" i="8" s="1"/>
  <c r="Y40" i="8"/>
  <c r="AC40" i="8" s="1"/>
  <c r="AD40" i="8" s="1"/>
  <c r="Y36" i="8"/>
  <c r="AC36" i="8" s="1"/>
  <c r="AD36" i="8" s="1"/>
  <c r="S40" i="8"/>
  <c r="T40" i="8" s="1"/>
  <c r="Y37" i="8"/>
  <c r="AC37" i="8" s="1"/>
  <c r="AD37" i="8" s="1"/>
  <c r="S74" i="8"/>
  <c r="T74" i="8" s="1"/>
  <c r="Y72" i="8"/>
  <c r="AC72" i="8" s="1"/>
  <c r="AD72" i="8" s="1"/>
  <c r="S39" i="8"/>
  <c r="T39" i="8" s="1"/>
  <c r="Y80" i="8"/>
  <c r="AC80" i="8" s="1"/>
  <c r="AD80" i="8" s="1"/>
  <c r="S53" i="8"/>
  <c r="T53" i="8" s="1"/>
  <c r="Y29" i="8"/>
  <c r="AC29" i="8" s="1"/>
  <c r="AD29" i="8" s="1"/>
  <c r="S79" i="8"/>
  <c r="T79" i="8" s="1"/>
  <c r="S35" i="8"/>
  <c r="T35" i="8" s="1"/>
  <c r="J63" i="8"/>
  <c r="K63" i="8" s="1"/>
  <c r="S31" i="8"/>
  <c r="T31" i="8" s="1"/>
  <c r="S32" i="8"/>
  <c r="T32" i="8" s="1"/>
  <c r="S60" i="8"/>
  <c r="T60" i="8" s="1"/>
  <c r="S62" i="8"/>
  <c r="T62" i="8" s="1"/>
  <c r="Y77" i="8"/>
  <c r="AC77" i="8" s="1"/>
  <c r="AD77" i="8" s="1"/>
  <c r="S76" i="8"/>
  <c r="T76" i="8" s="1"/>
  <c r="J76" i="8"/>
  <c r="K76" i="8" s="1"/>
  <c r="Y75" i="8"/>
  <c r="AC75" i="8" s="1"/>
  <c r="AD75" i="8" s="1"/>
  <c r="J75" i="8"/>
  <c r="K75" i="8" s="1"/>
  <c r="Y74" i="8"/>
  <c r="AC74" i="8" s="1"/>
  <c r="AD74" i="8" s="1"/>
  <c r="Y71" i="8"/>
  <c r="AC71" i="8" s="1"/>
  <c r="AD71" i="8" s="1"/>
  <c r="J71" i="8"/>
  <c r="K71" i="8" s="1"/>
  <c r="J70" i="8"/>
  <c r="K70" i="8" s="1"/>
  <c r="J69" i="8"/>
  <c r="K69" i="8" s="1"/>
  <c r="J68" i="8"/>
  <c r="K68" i="8" s="1"/>
  <c r="J67" i="8"/>
  <c r="K67" i="8" s="1"/>
  <c r="J66" i="8"/>
  <c r="K66" i="8" s="1"/>
  <c r="Y65" i="8"/>
  <c r="AC65" i="8" s="1"/>
  <c r="AD65" i="8" s="1"/>
  <c r="J64" i="8"/>
  <c r="K64" i="8" s="1"/>
  <c r="Y63" i="8"/>
  <c r="AC63" i="8" s="1"/>
  <c r="AD63" i="8" s="1"/>
  <c r="Y62" i="8"/>
  <c r="AC62" i="8" s="1"/>
  <c r="AD62" i="8" s="1"/>
  <c r="Y61" i="8"/>
  <c r="AC61" i="8" s="1"/>
  <c r="AD61" i="8" s="1"/>
  <c r="Y60" i="8"/>
  <c r="AC60" i="8" s="1"/>
  <c r="AD60" i="8" s="1"/>
  <c r="Y59" i="8"/>
  <c r="AC59" i="8" s="1"/>
  <c r="AD59" i="8" s="1"/>
  <c r="J59" i="8"/>
  <c r="K59" i="8" s="1"/>
  <c r="S58" i="8"/>
  <c r="T58" i="8" s="1"/>
  <c r="Y58" i="8"/>
  <c r="AC58" i="8" s="1"/>
  <c r="AD58" i="8" s="1"/>
  <c r="J58" i="8"/>
  <c r="K58" i="8" s="1"/>
  <c r="Y57" i="8"/>
  <c r="AC57" i="8" s="1"/>
  <c r="AD57" i="8" s="1"/>
  <c r="Y32" i="8"/>
  <c r="AC32" i="8" s="1"/>
  <c r="AD32" i="8" s="1"/>
  <c r="J32" i="8"/>
  <c r="K32" i="8" s="1"/>
  <c r="S56" i="8"/>
  <c r="T56" i="8" s="1"/>
  <c r="I56" i="8"/>
  <c r="W56" i="8"/>
  <c r="W51" i="8" s="1"/>
  <c r="Y56" i="8"/>
  <c r="Y55" i="8"/>
  <c r="AC55" i="8" s="1"/>
  <c r="AD55" i="8" s="1"/>
  <c r="J55" i="8"/>
  <c r="K55" i="8" s="1"/>
  <c r="Y31" i="8"/>
  <c r="AC31" i="8" s="1"/>
  <c r="AD31" i="8" s="1"/>
  <c r="Y30" i="8"/>
  <c r="AC30" i="8" s="1"/>
  <c r="AD30" i="8" s="1"/>
  <c r="J29" i="8"/>
  <c r="K29" i="8" s="1"/>
  <c r="Y54" i="8"/>
  <c r="AC54" i="8" s="1"/>
  <c r="AD54" i="8" s="1"/>
  <c r="Y53" i="8"/>
  <c r="AC53" i="8" s="1"/>
  <c r="AD53" i="8" s="1"/>
  <c r="J27" i="8"/>
  <c r="K27" i="8" s="1"/>
  <c r="Y28" i="8"/>
  <c r="AC28" i="8" s="1"/>
  <c r="AD28" i="8" s="1"/>
  <c r="Y27" i="8"/>
  <c r="AC27" i="8" s="1"/>
  <c r="AD27" i="8" s="1"/>
  <c r="J28" i="8"/>
  <c r="K28" i="8" s="1"/>
  <c r="S28" i="8"/>
  <c r="T28" i="8" s="1"/>
  <c r="S23" i="8"/>
  <c r="T23" i="8" s="1"/>
  <c r="S25" i="8"/>
  <c r="T25" i="8" s="1"/>
  <c r="S27" i="8"/>
  <c r="T27" i="8" s="1"/>
  <c r="J26" i="8"/>
  <c r="K26" i="8" s="1"/>
  <c r="S22" i="8"/>
  <c r="T22" i="8" s="1"/>
  <c r="S26" i="8"/>
  <c r="T26" i="8" s="1"/>
  <c r="Y26" i="8"/>
  <c r="AC26" i="8" s="1"/>
  <c r="AD26" i="8" s="1"/>
  <c r="Y25" i="8"/>
  <c r="AC25" i="8" s="1"/>
  <c r="AD25" i="8" s="1"/>
  <c r="J25" i="8"/>
  <c r="K25" i="8" s="1"/>
  <c r="Y24" i="8"/>
  <c r="AC24" i="8" s="1"/>
  <c r="AD24" i="8" s="1"/>
  <c r="J24" i="8"/>
  <c r="K24" i="8" s="1"/>
  <c r="Y23" i="8"/>
  <c r="AC23" i="8" s="1"/>
  <c r="AD23" i="8" s="1"/>
  <c r="J23" i="8"/>
  <c r="K23" i="8" s="1"/>
  <c r="Y22" i="8"/>
  <c r="AC22" i="8" s="1"/>
  <c r="AD22" i="8" s="1"/>
  <c r="J22" i="8"/>
  <c r="K22" i="8" s="1"/>
  <c r="S17" i="8"/>
  <c r="T17" i="8" s="1"/>
  <c r="J14" i="8"/>
  <c r="K14" i="8" s="1"/>
  <c r="J21" i="8"/>
  <c r="K21" i="8" s="1"/>
  <c r="S15" i="8"/>
  <c r="T15" i="8" s="1"/>
  <c r="Y21" i="8"/>
  <c r="AC21" i="8" s="1"/>
  <c r="AD21" i="8" s="1"/>
  <c r="S20" i="8"/>
  <c r="T20" i="8" s="1"/>
  <c r="J13" i="8"/>
  <c r="K13" i="8" s="1"/>
  <c r="S14" i="8"/>
  <c r="T14" i="8" s="1"/>
  <c r="J18" i="8"/>
  <c r="K18" i="8" s="1"/>
  <c r="S21" i="8"/>
  <c r="T21" i="8" s="1"/>
  <c r="Y20" i="8"/>
  <c r="AC20" i="8" s="1"/>
  <c r="AD20" i="8" s="1"/>
  <c r="J20" i="8"/>
  <c r="K20" i="8" s="1"/>
  <c r="S19" i="8"/>
  <c r="T19" i="8" s="1"/>
  <c r="J19" i="8"/>
  <c r="K19" i="8" s="1"/>
  <c r="S18" i="8"/>
  <c r="T18" i="8" s="1"/>
  <c r="Y18" i="8"/>
  <c r="AC18" i="8" s="1"/>
  <c r="AD18" i="8" s="1"/>
  <c r="Y17" i="8"/>
  <c r="AC17" i="8" s="1"/>
  <c r="AD17" i="8" s="1"/>
  <c r="J17" i="8"/>
  <c r="K17" i="8" s="1"/>
  <c r="Y16" i="8"/>
  <c r="AC16" i="8" s="1"/>
  <c r="AD16" i="8" s="1"/>
  <c r="J16" i="8"/>
  <c r="K16" i="8" s="1"/>
  <c r="Y15" i="8"/>
  <c r="AC15" i="8" s="1"/>
  <c r="AD15" i="8" s="1"/>
  <c r="Y14" i="8"/>
  <c r="AC14" i="8" s="1"/>
  <c r="AD14" i="8" s="1"/>
  <c r="Y13" i="8"/>
  <c r="AC13" i="8" s="1"/>
  <c r="AD13" i="8" s="1"/>
  <c r="S13" i="8"/>
  <c r="T13" i="8" s="1"/>
  <c r="R52" i="8"/>
  <c r="R51" i="8" s="1"/>
  <c r="I52" i="8"/>
  <c r="I51" i="8" s="1"/>
  <c r="O10" i="8"/>
  <c r="N10" i="8"/>
  <c r="F10" i="8"/>
  <c r="W12" i="8"/>
  <c r="W11" i="8" s="1"/>
  <c r="I12" i="8"/>
  <c r="I11" i="8" s="1"/>
  <c r="U10" i="8"/>
  <c r="M10" i="8"/>
  <c r="J52" i="8"/>
  <c r="E10" i="8"/>
  <c r="X10" i="8"/>
  <c r="D10" i="8"/>
  <c r="V10" i="8"/>
  <c r="AD122" i="8"/>
  <c r="AD119" i="8" s="1"/>
  <c r="AC122" i="8"/>
  <c r="AC119" i="8" s="1"/>
  <c r="S12" i="8"/>
  <c r="AD13" i="7"/>
  <c r="AC13" i="7"/>
  <c r="AB13" i="7"/>
  <c r="AA13" i="7"/>
  <c r="Z13" i="7"/>
  <c r="L13" i="7"/>
  <c r="O13" i="7"/>
  <c r="X13" i="7"/>
  <c r="Y13" i="7"/>
  <c r="W13" i="7"/>
  <c r="V13" i="7"/>
  <c r="T13" i="7"/>
  <c r="S13" i="7"/>
  <c r="R13" i="7"/>
  <c r="Q13" i="7"/>
  <c r="P13" i="7"/>
  <c r="N13" i="7"/>
  <c r="M13" i="7"/>
  <c r="K13" i="7"/>
  <c r="J13" i="7"/>
  <c r="I13" i="7"/>
  <c r="G13" i="7"/>
  <c r="E13" i="7"/>
  <c r="D13" i="7"/>
  <c r="AD19" i="7"/>
  <c r="AC19" i="7"/>
  <c r="AA19" i="7"/>
  <c r="T19" i="7"/>
  <c r="S19" i="7"/>
  <c r="V19" i="7"/>
  <c r="J19" i="7"/>
  <c r="K19" i="7" s="1"/>
  <c r="K52" i="8" l="1"/>
  <c r="K51" i="8" s="1"/>
  <c r="S11" i="8"/>
  <c r="AC56" i="8"/>
  <c r="AD56" i="8" s="1"/>
  <c r="W10" i="8"/>
  <c r="I10" i="8"/>
  <c r="J56" i="8"/>
  <c r="K56" i="8" s="1"/>
  <c r="S52" i="8"/>
  <c r="Y52" i="8"/>
  <c r="Y51" i="8" s="1"/>
  <c r="R10" i="8"/>
  <c r="AB52" i="8"/>
  <c r="AB51" i="8" s="1"/>
  <c r="J12" i="8"/>
  <c r="J11" i="8" s="1"/>
  <c r="Y12" i="8"/>
  <c r="Y11" i="8" s="1"/>
  <c r="AB12" i="8"/>
  <c r="AB11" i="8" s="1"/>
  <c r="K122" i="8"/>
  <c r="K119" i="8" s="1"/>
  <c r="J122" i="8"/>
  <c r="J119" i="8" s="1"/>
  <c r="T12" i="8"/>
  <c r="T11" i="8" s="1"/>
  <c r="N18" i="7"/>
  <c r="W18" i="7" s="1"/>
  <c r="E18" i="7"/>
  <c r="J18" i="7" s="1"/>
  <c r="K18" i="7" s="1"/>
  <c r="P17" i="7"/>
  <c r="G17" i="7"/>
  <c r="P16" i="7"/>
  <c r="G16" i="7"/>
  <c r="P12" i="7"/>
  <c r="G12" i="7"/>
  <c r="P23" i="7"/>
  <c r="V24" i="7"/>
  <c r="I24" i="7"/>
  <c r="J24" i="7" s="1"/>
  <c r="K24" i="7" s="1"/>
  <c r="Z23" i="7"/>
  <c r="W23" i="7"/>
  <c r="U23" i="7"/>
  <c r="R23" i="7"/>
  <c r="Q23" i="7"/>
  <c r="O23" i="7"/>
  <c r="N23" i="7"/>
  <c r="M23" i="7"/>
  <c r="L23" i="7"/>
  <c r="L20" i="7" s="1"/>
  <c r="H23" i="7"/>
  <c r="F23" i="7"/>
  <c r="E23" i="7"/>
  <c r="D23" i="7"/>
  <c r="V21" i="7"/>
  <c r="AE21" i="7"/>
  <c r="AA21" i="7"/>
  <c r="Z21" i="7"/>
  <c r="Z20" i="7" s="1"/>
  <c r="X21" i="7"/>
  <c r="U21" i="7"/>
  <c r="U20" i="7" s="1"/>
  <c r="T21" i="7"/>
  <c r="S21" i="7"/>
  <c r="R21" i="7"/>
  <c r="Q21" i="7"/>
  <c r="P21" i="7"/>
  <c r="O21" i="7"/>
  <c r="N21" i="7"/>
  <c r="M21" i="7"/>
  <c r="L21" i="7"/>
  <c r="H21" i="7"/>
  <c r="F21" i="7"/>
  <c r="D21" i="7"/>
  <c r="V18" i="7"/>
  <c r="Y18" i="7"/>
  <c r="V17" i="7"/>
  <c r="R17" i="7"/>
  <c r="I17" i="7"/>
  <c r="V16" i="7"/>
  <c r="R16" i="7"/>
  <c r="I16" i="7"/>
  <c r="Y15" i="7"/>
  <c r="V15" i="7"/>
  <c r="S15" i="7"/>
  <c r="T15" i="7" s="1"/>
  <c r="J15" i="7"/>
  <c r="K15" i="7" s="1"/>
  <c r="X14" i="7"/>
  <c r="V14" i="7"/>
  <c r="AB14" i="7"/>
  <c r="U13" i="7"/>
  <c r="H13" i="7"/>
  <c r="F13" i="7"/>
  <c r="X12" i="7"/>
  <c r="W12" i="7"/>
  <c r="V12" i="7"/>
  <c r="R12" i="7"/>
  <c r="I12" i="7"/>
  <c r="AA11" i="7"/>
  <c r="Z11" i="7"/>
  <c r="U11" i="7"/>
  <c r="Q11" i="7"/>
  <c r="O11" i="7"/>
  <c r="N11" i="7"/>
  <c r="M11" i="7"/>
  <c r="L11" i="7"/>
  <c r="L10" i="7" s="1"/>
  <c r="H11" i="7"/>
  <c r="F11" i="7"/>
  <c r="E11" i="7"/>
  <c r="D11" i="7"/>
  <c r="T52" i="8" l="1"/>
  <c r="T51" i="8" s="1"/>
  <c r="T10" i="8" s="1"/>
  <c r="S51" i="8"/>
  <c r="J51" i="8"/>
  <c r="G10" i="8"/>
  <c r="S10" i="8"/>
  <c r="AB10" i="8"/>
  <c r="AC52" i="8"/>
  <c r="Y10" i="8"/>
  <c r="AC12" i="8"/>
  <c r="AC11" i="8" s="1"/>
  <c r="K12" i="8"/>
  <c r="H20" i="7"/>
  <c r="Q20" i="7"/>
  <c r="AA10" i="7"/>
  <c r="H10" i="7"/>
  <c r="M20" i="7"/>
  <c r="AB12" i="7"/>
  <c r="AB11" i="7" s="1"/>
  <c r="N20" i="7"/>
  <c r="Q10" i="7"/>
  <c r="V11" i="7"/>
  <c r="O20" i="7"/>
  <c r="W21" i="7"/>
  <c r="W20" i="7" s="1"/>
  <c r="S12" i="7"/>
  <c r="T12" i="7" s="1"/>
  <c r="U10" i="7"/>
  <c r="D20" i="7"/>
  <c r="I23" i="7"/>
  <c r="J16" i="7"/>
  <c r="K16" i="7" s="1"/>
  <c r="I11" i="7"/>
  <c r="X11" i="7"/>
  <c r="X10" i="7" s="1"/>
  <c r="M10" i="7"/>
  <c r="E21" i="7"/>
  <c r="E20" i="7" s="1"/>
  <c r="P20" i="7"/>
  <c r="G23" i="7"/>
  <c r="S18" i="7"/>
  <c r="T18" i="7" s="1"/>
  <c r="E10" i="7"/>
  <c r="D10" i="7"/>
  <c r="AC18" i="7"/>
  <c r="AD18" i="7" s="1"/>
  <c r="S17" i="7"/>
  <c r="T17" i="7" s="1"/>
  <c r="N10" i="7"/>
  <c r="W15" i="7"/>
  <c r="J14" i="7"/>
  <c r="K14" i="7" s="1"/>
  <c r="O10" i="7"/>
  <c r="Y12" i="7"/>
  <c r="J12" i="7"/>
  <c r="K12" i="7" s="1"/>
  <c r="F10" i="7"/>
  <c r="F20" i="7"/>
  <c r="G21" i="7"/>
  <c r="R11" i="7"/>
  <c r="Z10" i="7"/>
  <c r="P11" i="7"/>
  <c r="Y14" i="7"/>
  <c r="S14" i="7"/>
  <c r="S16" i="7"/>
  <c r="T16" i="7" s="1"/>
  <c r="Y16" i="7"/>
  <c r="AC16" i="7" s="1"/>
  <c r="AD16" i="7" s="1"/>
  <c r="R20" i="7"/>
  <c r="AA23" i="7"/>
  <c r="AA20" i="7" s="1"/>
  <c r="T23" i="7"/>
  <c r="T20" i="7" s="1"/>
  <c r="S23" i="7"/>
  <c r="S20" i="7" s="1"/>
  <c r="G11" i="7"/>
  <c r="G10" i="7" s="1"/>
  <c r="I10" i="7"/>
  <c r="J17" i="7"/>
  <c r="K17" i="7" s="1"/>
  <c r="Y17" i="7"/>
  <c r="AC17" i="7" s="1"/>
  <c r="AD17" i="7" s="1"/>
  <c r="V23" i="7"/>
  <c r="V20" i="7" s="1"/>
  <c r="W11" i="7"/>
  <c r="X23" i="7"/>
  <c r="X20" i="7" s="1"/>
  <c r="Y24" i="7"/>
  <c r="Y23" i="7" s="1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D31" i="6"/>
  <c r="X35" i="6"/>
  <c r="R35" i="6"/>
  <c r="P35" i="6"/>
  <c r="S35" i="6" s="1"/>
  <c r="T35" i="6" s="1"/>
  <c r="I35" i="6"/>
  <c r="AB35" i="6" s="1"/>
  <c r="G35" i="6"/>
  <c r="J35" i="6" s="1"/>
  <c r="K35" i="6" s="1"/>
  <c r="G34" i="6"/>
  <c r="J34" i="6" s="1"/>
  <c r="AA34" i="6"/>
  <c r="AC34" i="6" s="1"/>
  <c r="AD34" i="6" s="1"/>
  <c r="K34" i="6"/>
  <c r="AA26" i="6"/>
  <c r="V14" i="6"/>
  <c r="P14" i="6"/>
  <c r="G14" i="6"/>
  <c r="P25" i="6"/>
  <c r="Y25" i="6" s="1"/>
  <c r="P24" i="6"/>
  <c r="Y24" i="6" s="1"/>
  <c r="R23" i="6"/>
  <c r="P23" i="6"/>
  <c r="S23" i="6" s="1"/>
  <c r="T23" i="6" s="1"/>
  <c r="I23" i="6"/>
  <c r="R22" i="6"/>
  <c r="R19" i="6"/>
  <c r="R20" i="6"/>
  <c r="R21" i="6"/>
  <c r="P19" i="6"/>
  <c r="P20" i="6"/>
  <c r="P21" i="6"/>
  <c r="P22" i="6"/>
  <c r="Y22" i="6" s="1"/>
  <c r="I19" i="6"/>
  <c r="I20" i="6"/>
  <c r="I21" i="6"/>
  <c r="I22" i="6"/>
  <c r="R18" i="6"/>
  <c r="P18" i="6"/>
  <c r="I18" i="6"/>
  <c r="N17" i="6"/>
  <c r="E17" i="6"/>
  <c r="X16" i="6"/>
  <c r="P16" i="6"/>
  <c r="Y16" i="6" s="1"/>
  <c r="G16" i="6"/>
  <c r="X13" i="6"/>
  <c r="P13" i="6"/>
  <c r="G13" i="6"/>
  <c r="Y33" i="6"/>
  <c r="V33" i="6"/>
  <c r="V32" i="6"/>
  <c r="I33" i="6"/>
  <c r="AB33" i="6" s="1"/>
  <c r="I32" i="6"/>
  <c r="G32" i="6"/>
  <c r="V30" i="6"/>
  <c r="E30" i="6"/>
  <c r="W30" i="6" s="1"/>
  <c r="AD52" i="8" l="1"/>
  <c r="AD51" i="8" s="1"/>
  <c r="AC51" i="8"/>
  <c r="K11" i="8"/>
  <c r="K10" i="8" s="1"/>
  <c r="J10" i="8"/>
  <c r="AD12" i="8"/>
  <c r="AD11" i="8" s="1"/>
  <c r="AC12" i="7"/>
  <c r="AD12" i="7" s="1"/>
  <c r="AD11" i="7" s="1"/>
  <c r="V10" i="7"/>
  <c r="J21" i="7"/>
  <c r="K21" i="7"/>
  <c r="K20" i="7" s="1"/>
  <c r="W10" i="7"/>
  <c r="Y11" i="7"/>
  <c r="AB21" i="7"/>
  <c r="I21" i="7"/>
  <c r="I20" i="7" s="1"/>
  <c r="G20" i="7"/>
  <c r="AC15" i="7"/>
  <c r="AD15" i="7" s="1"/>
  <c r="R10" i="7"/>
  <c r="K23" i="7"/>
  <c r="J23" i="7"/>
  <c r="K11" i="7"/>
  <c r="J11" i="7"/>
  <c r="J10" i="7" s="1"/>
  <c r="T14" i="7"/>
  <c r="S11" i="7"/>
  <c r="J20" i="7"/>
  <c r="AB10" i="7"/>
  <c r="AC14" i="7"/>
  <c r="Y21" i="7"/>
  <c r="Y20" i="7" s="1"/>
  <c r="AB23" i="7"/>
  <c r="AC24" i="7"/>
  <c r="P10" i="7"/>
  <c r="T11" i="7"/>
  <c r="AC33" i="6"/>
  <c r="AD33" i="6" s="1"/>
  <c r="J33" i="6"/>
  <c r="K33" i="6" s="1"/>
  <c r="Y23" i="6"/>
  <c r="J32" i="6"/>
  <c r="K32" i="6" s="1"/>
  <c r="W17" i="6"/>
  <c r="G30" i="6"/>
  <c r="Y32" i="6"/>
  <c r="Y35" i="6"/>
  <c r="AC35" i="6" s="1"/>
  <c r="AD35" i="6" s="1"/>
  <c r="I30" i="6"/>
  <c r="AB30" i="6" s="1"/>
  <c r="AB29" i="6" s="1"/>
  <c r="V12" i="6"/>
  <c r="R12" i="6"/>
  <c r="P12" i="6"/>
  <c r="I12" i="6"/>
  <c r="G12" i="6"/>
  <c r="AC32" i="6"/>
  <c r="L28" i="6"/>
  <c r="AE29" i="6"/>
  <c r="AA29" i="6"/>
  <c r="AA28" i="6" s="1"/>
  <c r="Z29" i="6"/>
  <c r="X29" i="6"/>
  <c r="W29" i="6"/>
  <c r="V29" i="6"/>
  <c r="U29" i="6"/>
  <c r="T29" i="6"/>
  <c r="S29" i="6"/>
  <c r="R29" i="6"/>
  <c r="R28" i="6" s="1"/>
  <c r="Q29" i="6"/>
  <c r="P29" i="6"/>
  <c r="O29" i="6"/>
  <c r="N29" i="6"/>
  <c r="N28" i="6" s="1"/>
  <c r="M29" i="6"/>
  <c r="L29" i="6"/>
  <c r="H29" i="6"/>
  <c r="H28" i="6" s="1"/>
  <c r="F29" i="6"/>
  <c r="E29" i="6"/>
  <c r="D29" i="6"/>
  <c r="T28" i="6"/>
  <c r="V27" i="6"/>
  <c r="S27" i="6"/>
  <c r="T27" i="6" s="1"/>
  <c r="I27" i="6"/>
  <c r="J27" i="6" s="1"/>
  <c r="K27" i="6" s="1"/>
  <c r="V26" i="6"/>
  <c r="S26" i="6"/>
  <c r="T26" i="6" s="1"/>
  <c r="J26" i="6"/>
  <c r="K26" i="6" s="1"/>
  <c r="R25" i="6"/>
  <c r="S25" i="6" s="1"/>
  <c r="T25" i="6" s="1"/>
  <c r="AC25" i="6"/>
  <c r="AD25" i="6" s="1"/>
  <c r="I25" i="6"/>
  <c r="J25" i="6" s="1"/>
  <c r="K25" i="6" s="1"/>
  <c r="R24" i="6"/>
  <c r="S24" i="6" s="1"/>
  <c r="T24" i="6" s="1"/>
  <c r="I24" i="6"/>
  <c r="X23" i="6"/>
  <c r="X15" i="6" s="1"/>
  <c r="V23" i="6"/>
  <c r="J23" i="6"/>
  <c r="K23" i="6" s="1"/>
  <c r="V22" i="6"/>
  <c r="AC22" i="6" s="1"/>
  <c r="AD22" i="6" s="1"/>
  <c r="S22" i="6"/>
  <c r="T22" i="6" s="1"/>
  <c r="J22" i="6"/>
  <c r="K22" i="6" s="1"/>
  <c r="V21" i="6"/>
  <c r="AB21" i="6"/>
  <c r="Y20" i="6"/>
  <c r="V20" i="6"/>
  <c r="S20" i="6"/>
  <c r="T20" i="6" s="1"/>
  <c r="J20" i="6"/>
  <c r="K20" i="6" s="1"/>
  <c r="Y19" i="6"/>
  <c r="V19" i="6"/>
  <c r="S19" i="6"/>
  <c r="T19" i="6" s="1"/>
  <c r="J19" i="6"/>
  <c r="K19" i="6" s="1"/>
  <c r="Y18" i="6"/>
  <c r="V18" i="6"/>
  <c r="S18" i="6"/>
  <c r="T18" i="6" s="1"/>
  <c r="J18" i="6"/>
  <c r="K18" i="6" s="1"/>
  <c r="Y17" i="6"/>
  <c r="V17" i="6"/>
  <c r="S17" i="6"/>
  <c r="T17" i="6" s="1"/>
  <c r="J17" i="6"/>
  <c r="K17" i="6" s="1"/>
  <c r="V16" i="6"/>
  <c r="R16" i="6"/>
  <c r="I16" i="6"/>
  <c r="AA15" i="6"/>
  <c r="Z15" i="6"/>
  <c r="W15" i="6"/>
  <c r="U15" i="6"/>
  <c r="Q15" i="6"/>
  <c r="O15" i="6"/>
  <c r="N15" i="6"/>
  <c r="M15" i="6"/>
  <c r="L15" i="6"/>
  <c r="H15" i="6"/>
  <c r="F15" i="6"/>
  <c r="E15" i="6"/>
  <c r="D15" i="6"/>
  <c r="R14" i="6"/>
  <c r="V13" i="6"/>
  <c r="W13" i="6"/>
  <c r="X12" i="6"/>
  <c r="X11" i="6" s="1"/>
  <c r="AA11" i="6"/>
  <c r="Z11" i="6"/>
  <c r="U11" i="6"/>
  <c r="Q11" i="6"/>
  <c r="O11" i="6"/>
  <c r="M11" i="6"/>
  <c r="L11" i="6"/>
  <c r="H11" i="6"/>
  <c r="F11" i="6"/>
  <c r="D11" i="6"/>
  <c r="AC10" i="8" l="1"/>
  <c r="AD10" i="8"/>
  <c r="AB20" i="7"/>
  <c r="AC11" i="7"/>
  <c r="Y10" i="7"/>
  <c r="K10" i="7"/>
  <c r="S10" i="7"/>
  <c r="T10" i="7"/>
  <c r="AD14" i="7"/>
  <c r="AD10" i="7" s="1"/>
  <c r="AD21" i="7"/>
  <c r="AC21" i="7"/>
  <c r="AC23" i="7"/>
  <c r="AD24" i="7"/>
  <c r="AD23" i="7" s="1"/>
  <c r="F28" i="6"/>
  <c r="D28" i="6"/>
  <c r="I29" i="6"/>
  <c r="I28" i="6" s="1"/>
  <c r="W28" i="6"/>
  <c r="E28" i="6"/>
  <c r="Z10" i="6"/>
  <c r="AC17" i="6"/>
  <c r="AD17" i="6" s="1"/>
  <c r="AC18" i="6"/>
  <c r="AD18" i="6" s="1"/>
  <c r="AC19" i="6"/>
  <c r="AD19" i="6" s="1"/>
  <c r="AC20" i="6"/>
  <c r="AD20" i="6" s="1"/>
  <c r="AC23" i="6"/>
  <c r="AD23" i="6" s="1"/>
  <c r="M28" i="6"/>
  <c r="Q28" i="6"/>
  <c r="U28" i="6"/>
  <c r="Z28" i="6"/>
  <c r="AB12" i="6"/>
  <c r="J30" i="6"/>
  <c r="Y30" i="6"/>
  <c r="G29" i="6"/>
  <c r="G28" i="6" s="1"/>
  <c r="O28" i="6"/>
  <c r="S28" i="6"/>
  <c r="AB28" i="6"/>
  <c r="F10" i="6"/>
  <c r="AA10" i="6"/>
  <c r="P28" i="6"/>
  <c r="X28" i="6"/>
  <c r="V11" i="6"/>
  <c r="Q10" i="6"/>
  <c r="L10" i="6"/>
  <c r="I15" i="6"/>
  <c r="H10" i="6"/>
  <c r="R15" i="6"/>
  <c r="M10" i="6"/>
  <c r="J24" i="6"/>
  <c r="K24" i="6" s="1"/>
  <c r="O10" i="6"/>
  <c r="U10" i="6"/>
  <c r="D10" i="6"/>
  <c r="X10" i="6"/>
  <c r="Y12" i="6"/>
  <c r="W12" i="6"/>
  <c r="S12" i="6"/>
  <c r="J21" i="6"/>
  <c r="K21" i="6" s="1"/>
  <c r="G15" i="6"/>
  <c r="AD32" i="6"/>
  <c r="I14" i="6"/>
  <c r="AB14" i="6" s="1"/>
  <c r="AB16" i="6"/>
  <c r="AC16" i="6" s="1"/>
  <c r="S16" i="6"/>
  <c r="AB26" i="6"/>
  <c r="AC26" i="6" s="1"/>
  <c r="AD26" i="6" s="1"/>
  <c r="N11" i="6"/>
  <c r="N10" i="6" s="1"/>
  <c r="Y21" i="6"/>
  <c r="AC21" i="6" s="1"/>
  <c r="AD21" i="6" s="1"/>
  <c r="S21" i="6"/>
  <c r="T21" i="6" s="1"/>
  <c r="P15" i="6"/>
  <c r="AC24" i="6"/>
  <c r="AD24" i="6" s="1"/>
  <c r="E11" i="6"/>
  <c r="E10" i="6" s="1"/>
  <c r="I13" i="6"/>
  <c r="G11" i="6"/>
  <c r="V15" i="6"/>
  <c r="AB27" i="6"/>
  <c r="AC27" i="6" s="1"/>
  <c r="AD27" i="6" s="1"/>
  <c r="W14" i="6"/>
  <c r="J16" i="6"/>
  <c r="J12" i="6"/>
  <c r="R13" i="6"/>
  <c r="V28" i="6"/>
  <c r="V29" i="3"/>
  <c r="V28" i="3"/>
  <c r="V27" i="3"/>
  <c r="R27" i="3"/>
  <c r="S27" i="3" s="1"/>
  <c r="T27" i="3" s="1"/>
  <c r="R28" i="3"/>
  <c r="S28" i="3" s="1"/>
  <c r="T28" i="3" s="1"/>
  <c r="R29" i="3"/>
  <c r="S29" i="3" s="1"/>
  <c r="T29" i="3" s="1"/>
  <c r="I27" i="3"/>
  <c r="J27" i="3" s="1"/>
  <c r="K27" i="3" s="1"/>
  <c r="I28" i="3"/>
  <c r="J28" i="3" s="1"/>
  <c r="K28" i="3" s="1"/>
  <c r="I29" i="3"/>
  <c r="J29" i="3" s="1"/>
  <c r="K29" i="3" s="1"/>
  <c r="P31" i="3"/>
  <c r="G31" i="3"/>
  <c r="P30" i="3"/>
  <c r="G30" i="3"/>
  <c r="P15" i="3"/>
  <c r="G15" i="3"/>
  <c r="P26" i="3"/>
  <c r="G26" i="3"/>
  <c r="R31" i="3"/>
  <c r="S31" i="3" s="1"/>
  <c r="T31" i="3" s="1"/>
  <c r="I31" i="3"/>
  <c r="P25" i="3"/>
  <c r="G25" i="3"/>
  <c r="X24" i="3"/>
  <c r="X16" i="3" s="1"/>
  <c r="V24" i="3"/>
  <c r="V23" i="3"/>
  <c r="AC23" i="3" s="1"/>
  <c r="AD23" i="3" s="1"/>
  <c r="P22" i="3"/>
  <c r="V22" i="3"/>
  <c r="G22" i="3"/>
  <c r="V21" i="3"/>
  <c r="R22" i="3"/>
  <c r="S24" i="3"/>
  <c r="T24" i="3" s="1"/>
  <c r="R25" i="3"/>
  <c r="R26" i="3"/>
  <c r="R30" i="3"/>
  <c r="S23" i="3"/>
  <c r="T23" i="3" s="1"/>
  <c r="I22" i="3"/>
  <c r="I25" i="3"/>
  <c r="I26" i="3"/>
  <c r="I30" i="3"/>
  <c r="J23" i="3"/>
  <c r="K23" i="3" s="1"/>
  <c r="J24" i="3"/>
  <c r="K24" i="3" s="1"/>
  <c r="N14" i="3"/>
  <c r="E14" i="3"/>
  <c r="G14" i="3" s="1"/>
  <c r="V20" i="3"/>
  <c r="N13" i="3"/>
  <c r="R13" i="3" s="1"/>
  <c r="V19" i="3"/>
  <c r="V18" i="3"/>
  <c r="N12" i="3"/>
  <c r="E12" i="3"/>
  <c r="E13" i="3"/>
  <c r="G13" i="3" s="1"/>
  <c r="I15" i="3"/>
  <c r="R17" i="3"/>
  <c r="S17" i="3" s="1"/>
  <c r="T17" i="3" s="1"/>
  <c r="S19" i="3"/>
  <c r="T19" i="3" s="1"/>
  <c r="S20" i="3"/>
  <c r="T20" i="3" s="1"/>
  <c r="S18" i="3"/>
  <c r="T18" i="3" s="1"/>
  <c r="J20" i="3"/>
  <c r="K20" i="3" s="1"/>
  <c r="J18" i="3"/>
  <c r="K18" i="3" s="1"/>
  <c r="J19" i="3"/>
  <c r="K19" i="3" s="1"/>
  <c r="I17" i="3"/>
  <c r="J17" i="3" s="1"/>
  <c r="K17" i="3" s="1"/>
  <c r="V17" i="3"/>
  <c r="I35" i="3"/>
  <c r="AB36" i="3"/>
  <c r="V36" i="3"/>
  <c r="J36" i="3"/>
  <c r="K36" i="3" s="1"/>
  <c r="AA35" i="3"/>
  <c r="Z35" i="3"/>
  <c r="X35" i="3"/>
  <c r="W35" i="3"/>
  <c r="U35" i="3"/>
  <c r="T35" i="3"/>
  <c r="S35" i="3"/>
  <c r="R35" i="3"/>
  <c r="Q35" i="3"/>
  <c r="P35" i="3"/>
  <c r="O35" i="3"/>
  <c r="N35" i="3"/>
  <c r="M35" i="3"/>
  <c r="L35" i="3"/>
  <c r="H35" i="3"/>
  <c r="F35" i="3"/>
  <c r="E35" i="3"/>
  <c r="D35" i="3"/>
  <c r="AE33" i="3"/>
  <c r="AA33" i="3"/>
  <c r="Z33" i="3"/>
  <c r="X33" i="3"/>
  <c r="V33" i="3"/>
  <c r="U33" i="3"/>
  <c r="T33" i="3"/>
  <c r="Q33" i="3"/>
  <c r="O33" i="3"/>
  <c r="M33" i="3"/>
  <c r="L33" i="3"/>
  <c r="H33" i="3"/>
  <c r="F33" i="3"/>
  <c r="D33" i="3"/>
  <c r="Y17" i="3"/>
  <c r="AA16" i="3"/>
  <c r="Z16" i="3"/>
  <c r="W16" i="3"/>
  <c r="U16" i="3"/>
  <c r="Q16" i="3"/>
  <c r="O16" i="3"/>
  <c r="N16" i="3"/>
  <c r="M16" i="3"/>
  <c r="L16" i="3"/>
  <c r="H16" i="3"/>
  <c r="F16" i="3"/>
  <c r="E16" i="3"/>
  <c r="D16" i="3"/>
  <c r="V13" i="3"/>
  <c r="V11" i="3" s="1"/>
  <c r="X12" i="3"/>
  <c r="X11" i="3" s="1"/>
  <c r="AA11" i="3"/>
  <c r="Z11" i="3"/>
  <c r="U11" i="3"/>
  <c r="Q11" i="3"/>
  <c r="O11" i="3"/>
  <c r="M11" i="3"/>
  <c r="L11" i="3"/>
  <c r="H11" i="3"/>
  <c r="F11" i="3"/>
  <c r="D11" i="3"/>
  <c r="AC10" i="7" l="1"/>
  <c r="AC20" i="7"/>
  <c r="AD20" i="7"/>
  <c r="AC30" i="6"/>
  <c r="Y29" i="6"/>
  <c r="Y28" i="6" s="1"/>
  <c r="V10" i="6"/>
  <c r="K30" i="6"/>
  <c r="K29" i="6" s="1"/>
  <c r="K28" i="6" s="1"/>
  <c r="J29" i="6"/>
  <c r="J28" i="6" s="1"/>
  <c r="J14" i="6"/>
  <c r="K14" i="6" s="1"/>
  <c r="G10" i="6"/>
  <c r="K12" i="6"/>
  <c r="AD16" i="6"/>
  <c r="AD15" i="6" s="1"/>
  <c r="AC15" i="6"/>
  <c r="AB13" i="6"/>
  <c r="AB11" i="6" s="1"/>
  <c r="R11" i="6"/>
  <c r="R10" i="6" s="1"/>
  <c r="K16" i="6"/>
  <c r="K15" i="6" s="1"/>
  <c r="J15" i="6"/>
  <c r="Y15" i="6"/>
  <c r="I11" i="6"/>
  <c r="I10" i="6" s="1"/>
  <c r="T16" i="6"/>
  <c r="T15" i="6" s="1"/>
  <c r="S15" i="6"/>
  <c r="P11" i="6"/>
  <c r="P10" i="6" s="1"/>
  <c r="S13" i="6"/>
  <c r="T13" i="6" s="1"/>
  <c r="Y13" i="6"/>
  <c r="J13" i="6"/>
  <c r="K13" i="6" s="1"/>
  <c r="AB15" i="6"/>
  <c r="T12" i="6"/>
  <c r="Y14" i="6"/>
  <c r="AC14" i="6" s="1"/>
  <c r="AD14" i="6" s="1"/>
  <c r="S14" i="6"/>
  <c r="T14" i="6" s="1"/>
  <c r="AC12" i="6"/>
  <c r="W11" i="6"/>
  <c r="W10" i="6" s="1"/>
  <c r="Z32" i="3"/>
  <c r="D32" i="3"/>
  <c r="AA10" i="3"/>
  <c r="L32" i="3"/>
  <c r="T32" i="3"/>
  <c r="L10" i="3"/>
  <c r="AB17" i="3"/>
  <c r="O10" i="3"/>
  <c r="Q10" i="3"/>
  <c r="H32" i="3"/>
  <c r="X32" i="3"/>
  <c r="AA32" i="3"/>
  <c r="Y26" i="3"/>
  <c r="AC26" i="3" s="1"/>
  <c r="AD26" i="3" s="1"/>
  <c r="AB27" i="3"/>
  <c r="AC27" i="3" s="1"/>
  <c r="AD27" i="3" s="1"/>
  <c r="AB28" i="3"/>
  <c r="AC28" i="3" s="1"/>
  <c r="AD28" i="3" s="1"/>
  <c r="H10" i="3"/>
  <c r="AB29" i="3"/>
  <c r="AC29" i="3" s="1"/>
  <c r="AD29" i="3" s="1"/>
  <c r="W12" i="3"/>
  <c r="Q32" i="3"/>
  <c r="S22" i="3"/>
  <c r="T22" i="3" s="1"/>
  <c r="Y25" i="3"/>
  <c r="AC25" i="3" s="1"/>
  <c r="AD25" i="3" s="1"/>
  <c r="S26" i="3"/>
  <c r="T26" i="3" s="1"/>
  <c r="Z10" i="3"/>
  <c r="P13" i="3"/>
  <c r="S13" i="3" s="1"/>
  <c r="T13" i="3" s="1"/>
  <c r="W14" i="3"/>
  <c r="J26" i="3"/>
  <c r="K26" i="3" s="1"/>
  <c r="M10" i="3"/>
  <c r="Y22" i="3"/>
  <c r="F32" i="3"/>
  <c r="K35" i="3"/>
  <c r="R14" i="3"/>
  <c r="S25" i="3"/>
  <c r="T25" i="3" s="1"/>
  <c r="J30" i="3"/>
  <c r="K30" i="3" s="1"/>
  <c r="P14" i="3"/>
  <c r="Y14" i="3" s="1"/>
  <c r="M32" i="3"/>
  <c r="O32" i="3"/>
  <c r="AC36" i="3"/>
  <c r="AD36" i="3" s="1"/>
  <c r="AB22" i="3"/>
  <c r="U32" i="3"/>
  <c r="V35" i="3"/>
  <c r="V32" i="3" s="1"/>
  <c r="Y31" i="3"/>
  <c r="AC31" i="3" s="1"/>
  <c r="AD31" i="3" s="1"/>
  <c r="J31" i="3"/>
  <c r="K31" i="3" s="1"/>
  <c r="S30" i="3"/>
  <c r="T30" i="3" s="1"/>
  <c r="Y30" i="3"/>
  <c r="AC30" i="3" s="1"/>
  <c r="AD30" i="3" s="1"/>
  <c r="J22" i="3"/>
  <c r="K22" i="3" s="1"/>
  <c r="U10" i="3"/>
  <c r="F10" i="3"/>
  <c r="J25" i="3"/>
  <c r="K25" i="3" s="1"/>
  <c r="X10" i="3"/>
  <c r="AC24" i="3"/>
  <c r="AD24" i="3" s="1"/>
  <c r="S21" i="3"/>
  <c r="T21" i="3" s="1"/>
  <c r="J15" i="3"/>
  <c r="K15" i="3" s="1"/>
  <c r="Y21" i="3"/>
  <c r="AC21" i="3" s="1"/>
  <c r="AD21" i="3" s="1"/>
  <c r="R15" i="3"/>
  <c r="J21" i="3"/>
  <c r="K21" i="3" s="1"/>
  <c r="I14" i="3"/>
  <c r="I13" i="3"/>
  <c r="J13" i="3" s="1"/>
  <c r="K13" i="3" s="1"/>
  <c r="Y18" i="3"/>
  <c r="AC18" i="3" s="1"/>
  <c r="AD18" i="3" s="1"/>
  <c r="S12" i="3"/>
  <c r="T12" i="3" s="1"/>
  <c r="J12" i="3"/>
  <c r="K12" i="3" s="1"/>
  <c r="D10" i="3"/>
  <c r="R16" i="3"/>
  <c r="P16" i="3"/>
  <c r="I16" i="3"/>
  <c r="AC17" i="3"/>
  <c r="W13" i="3"/>
  <c r="Y20" i="3"/>
  <c r="AC20" i="3" s="1"/>
  <c r="AD20" i="3" s="1"/>
  <c r="R33" i="3"/>
  <c r="R32" i="3" s="1"/>
  <c r="P33" i="3"/>
  <c r="P32" i="3" s="1"/>
  <c r="N33" i="3"/>
  <c r="N32" i="3" s="1"/>
  <c r="G35" i="3"/>
  <c r="N11" i="3"/>
  <c r="N10" i="3" s="1"/>
  <c r="G16" i="3"/>
  <c r="Y19" i="3"/>
  <c r="AC19" i="3" s="1"/>
  <c r="AD19" i="3" s="1"/>
  <c r="E11" i="3"/>
  <c r="E10" i="3" s="1"/>
  <c r="V16" i="3"/>
  <c r="V10" i="3" s="1"/>
  <c r="E33" i="3"/>
  <c r="E32" i="3" s="1"/>
  <c r="J35" i="3"/>
  <c r="AB35" i="3"/>
  <c r="AB26" i="5"/>
  <c r="AC26" i="5" s="1"/>
  <c r="N26" i="5"/>
  <c r="R26" i="5" s="1"/>
  <c r="E26" i="5"/>
  <c r="W26" i="5" s="1"/>
  <c r="W13" i="5"/>
  <c r="V13" i="5"/>
  <c r="N13" i="5"/>
  <c r="E13" i="5"/>
  <c r="AD30" i="6" l="1"/>
  <c r="AD29" i="6" s="1"/>
  <c r="AD28" i="6" s="1"/>
  <c r="AC29" i="6"/>
  <c r="AC28" i="6" s="1"/>
  <c r="J11" i="6"/>
  <c r="J10" i="6" s="1"/>
  <c r="AB10" i="6"/>
  <c r="K11" i="6"/>
  <c r="K10" i="6" s="1"/>
  <c r="S11" i="6"/>
  <c r="S10" i="6" s="1"/>
  <c r="AD12" i="6"/>
  <c r="T11" i="6"/>
  <c r="T10" i="6" s="1"/>
  <c r="Y11" i="6"/>
  <c r="Y10" i="6" s="1"/>
  <c r="AC13" i="6"/>
  <c r="AD13" i="6" s="1"/>
  <c r="AC22" i="3"/>
  <c r="AD22" i="3" s="1"/>
  <c r="AB16" i="3"/>
  <c r="S14" i="3"/>
  <c r="T14" i="3" s="1"/>
  <c r="AB14" i="3"/>
  <c r="AC14" i="3" s="1"/>
  <c r="AD14" i="3" s="1"/>
  <c r="Y15" i="3"/>
  <c r="AC15" i="3" s="1"/>
  <c r="AD15" i="3" s="1"/>
  <c r="J14" i="3"/>
  <c r="K14" i="3" s="1"/>
  <c r="S15" i="3"/>
  <c r="T15" i="3" s="1"/>
  <c r="Y12" i="3"/>
  <c r="AC12" i="3" s="1"/>
  <c r="AD12" i="3" s="1"/>
  <c r="G11" i="3"/>
  <c r="G10" i="3" s="1"/>
  <c r="K16" i="3"/>
  <c r="J16" i="3"/>
  <c r="W33" i="3"/>
  <c r="W32" i="3" s="1"/>
  <c r="AB13" i="3"/>
  <c r="R11" i="3"/>
  <c r="R10" i="3" s="1"/>
  <c r="AB33" i="3"/>
  <c r="AB32" i="3" s="1"/>
  <c r="I33" i="3"/>
  <c r="I32" i="3" s="1"/>
  <c r="S16" i="3"/>
  <c r="G33" i="3"/>
  <c r="G32" i="3" s="1"/>
  <c r="Y33" i="3"/>
  <c r="W11" i="3"/>
  <c r="W10" i="3" s="1"/>
  <c r="I11" i="3"/>
  <c r="I10" i="3" s="1"/>
  <c r="AD17" i="3"/>
  <c r="S33" i="3"/>
  <c r="S32" i="3" s="1"/>
  <c r="Y13" i="3"/>
  <c r="P11" i="3"/>
  <c r="P10" i="3" s="1"/>
  <c r="Y35" i="3"/>
  <c r="T16" i="3"/>
  <c r="Y16" i="3"/>
  <c r="G26" i="5"/>
  <c r="P26" i="5"/>
  <c r="S26" i="5" s="1"/>
  <c r="S25" i="5" s="1"/>
  <c r="S24" i="5" s="1"/>
  <c r="I26" i="5"/>
  <c r="X12" i="5"/>
  <c r="X11" i="5" s="1"/>
  <c r="P12" i="5"/>
  <c r="G12" i="5"/>
  <c r="P16" i="5"/>
  <c r="G16" i="5"/>
  <c r="P15" i="5"/>
  <c r="G15" i="5"/>
  <c r="Y23" i="5"/>
  <c r="P22" i="5"/>
  <c r="G22" i="5"/>
  <c r="P21" i="5"/>
  <c r="G21" i="5"/>
  <c r="R15" i="5"/>
  <c r="S15" i="5"/>
  <c r="T15" i="5" s="1"/>
  <c r="N14" i="5"/>
  <c r="I15" i="5"/>
  <c r="E14" i="5"/>
  <c r="G14" i="5" s="1"/>
  <c r="P13" i="5"/>
  <c r="I13" i="5"/>
  <c r="R12" i="5"/>
  <c r="P20" i="5"/>
  <c r="G20" i="5"/>
  <c r="J20" i="5" s="1"/>
  <c r="K20" i="5" s="1"/>
  <c r="P19" i="5"/>
  <c r="G19" i="5"/>
  <c r="P18" i="5"/>
  <c r="G18" i="5"/>
  <c r="AB30" i="5"/>
  <c r="I30" i="5"/>
  <c r="G30" i="5"/>
  <c r="V29" i="5"/>
  <c r="J29" i="5"/>
  <c r="K29" i="5" s="1"/>
  <c r="V28" i="5"/>
  <c r="AB28" i="5"/>
  <c r="AA27" i="5"/>
  <c r="Z27" i="5"/>
  <c r="X27" i="5"/>
  <c r="W27" i="5"/>
  <c r="U27" i="5"/>
  <c r="T27" i="5"/>
  <c r="S27" i="5"/>
  <c r="R27" i="5"/>
  <c r="Q27" i="5"/>
  <c r="P27" i="5"/>
  <c r="O27" i="5"/>
  <c r="N27" i="5"/>
  <c r="M27" i="5"/>
  <c r="L27" i="5"/>
  <c r="H27" i="5"/>
  <c r="F27" i="5"/>
  <c r="E27" i="5"/>
  <c r="D27" i="5"/>
  <c r="T25" i="5"/>
  <c r="X25" i="5"/>
  <c r="X24" i="5" s="1"/>
  <c r="AE25" i="5"/>
  <c r="AA25" i="5"/>
  <c r="Z25" i="5"/>
  <c r="U25" i="5"/>
  <c r="R25" i="5"/>
  <c r="Q25" i="5"/>
  <c r="O25" i="5"/>
  <c r="O24" i="5" s="1"/>
  <c r="N25" i="5"/>
  <c r="M25" i="5"/>
  <c r="L25" i="5"/>
  <c r="H25" i="5"/>
  <c r="H24" i="5" s="1"/>
  <c r="G25" i="5"/>
  <c r="F25" i="5"/>
  <c r="E25" i="5"/>
  <c r="D25" i="5"/>
  <c r="V23" i="5"/>
  <c r="R23" i="5"/>
  <c r="S23" i="5" s="1"/>
  <c r="T23" i="5" s="1"/>
  <c r="I23" i="5"/>
  <c r="J23" i="5" s="1"/>
  <c r="K23" i="5" s="1"/>
  <c r="R22" i="5"/>
  <c r="I22" i="5"/>
  <c r="R21" i="5"/>
  <c r="I21" i="5"/>
  <c r="J21" i="5"/>
  <c r="K21" i="5" s="1"/>
  <c r="R20" i="5"/>
  <c r="S20" i="5" s="1"/>
  <c r="T20" i="5" s="1"/>
  <c r="I20" i="5"/>
  <c r="R19" i="5"/>
  <c r="I19" i="5"/>
  <c r="R18" i="5"/>
  <c r="I18" i="5"/>
  <c r="AA17" i="5"/>
  <c r="Z17" i="5"/>
  <c r="X17" i="5"/>
  <c r="W17" i="5"/>
  <c r="U17" i="5"/>
  <c r="Q17" i="5"/>
  <c r="O17" i="5"/>
  <c r="N17" i="5"/>
  <c r="M17" i="5"/>
  <c r="L17" i="5"/>
  <c r="H17" i="5"/>
  <c r="F17" i="5"/>
  <c r="E17" i="5"/>
  <c r="D17" i="5"/>
  <c r="W16" i="5"/>
  <c r="W11" i="5" s="1"/>
  <c r="R16" i="5"/>
  <c r="S16" i="5" s="1"/>
  <c r="T16" i="5" s="1"/>
  <c r="I16" i="5"/>
  <c r="I12" i="5"/>
  <c r="AA11" i="5"/>
  <c r="Z11" i="5"/>
  <c r="V11" i="5"/>
  <c r="U11" i="5"/>
  <c r="Q11" i="5"/>
  <c r="O11" i="5"/>
  <c r="M11" i="5"/>
  <c r="L11" i="5"/>
  <c r="H11" i="5"/>
  <c r="F11" i="5"/>
  <c r="D11" i="5"/>
  <c r="W10" i="5"/>
  <c r="AC11" i="6" l="1"/>
  <c r="AC10" i="6" s="1"/>
  <c r="AD11" i="6"/>
  <c r="AD10" i="6" s="1"/>
  <c r="S11" i="3"/>
  <c r="AB11" i="3"/>
  <c r="AB10" i="3" s="1"/>
  <c r="Y11" i="3"/>
  <c r="Y10" i="3" s="1"/>
  <c r="AC16" i="3"/>
  <c r="S10" i="3"/>
  <c r="K11" i="3"/>
  <c r="K10" i="3" s="1"/>
  <c r="J11" i="3"/>
  <c r="J10" i="3" s="1"/>
  <c r="J33" i="3"/>
  <c r="J32" i="3" s="1"/>
  <c r="K33" i="3"/>
  <c r="K32" i="3" s="1"/>
  <c r="Y32" i="3"/>
  <c r="AD35" i="3"/>
  <c r="AC35" i="3"/>
  <c r="T11" i="3"/>
  <c r="T10" i="3" s="1"/>
  <c r="AD16" i="3"/>
  <c r="AC13" i="3"/>
  <c r="U24" i="5"/>
  <c r="N24" i="5"/>
  <c r="J30" i="5"/>
  <c r="K30" i="5" s="1"/>
  <c r="Y30" i="5"/>
  <c r="Y27" i="5" s="1"/>
  <c r="AA10" i="5"/>
  <c r="E24" i="5"/>
  <c r="P25" i="5"/>
  <c r="T24" i="5"/>
  <c r="Y26" i="5"/>
  <c r="AD26" i="5" s="1"/>
  <c r="Y12" i="5"/>
  <c r="F24" i="5"/>
  <c r="AA24" i="5"/>
  <c r="AB12" i="5"/>
  <c r="AB11" i="5" s="1"/>
  <c r="W25" i="5"/>
  <c r="W24" i="5" s="1"/>
  <c r="J26" i="5"/>
  <c r="R24" i="5"/>
  <c r="Q24" i="5"/>
  <c r="J22" i="5"/>
  <c r="K22" i="5" s="1"/>
  <c r="Y22" i="5"/>
  <c r="J16" i="5"/>
  <c r="K16" i="5" s="1"/>
  <c r="Z10" i="5"/>
  <c r="S19" i="5"/>
  <c r="T19" i="5" s="1"/>
  <c r="S22" i="5"/>
  <c r="T22" i="5" s="1"/>
  <c r="I14" i="5"/>
  <c r="J14" i="5" s="1"/>
  <c r="K14" i="5" s="1"/>
  <c r="Z24" i="5"/>
  <c r="R13" i="5"/>
  <c r="AB13" i="5" s="1"/>
  <c r="Y15" i="5"/>
  <c r="AC15" i="5" s="1"/>
  <c r="AD15" i="5" s="1"/>
  <c r="X10" i="5"/>
  <c r="M24" i="5"/>
  <c r="S13" i="5"/>
  <c r="T13" i="5" s="1"/>
  <c r="R14" i="5"/>
  <c r="P24" i="5"/>
  <c r="H10" i="5"/>
  <c r="G13" i="5"/>
  <c r="J13" i="5" s="1"/>
  <c r="K13" i="5" s="1"/>
  <c r="P14" i="5"/>
  <c r="Y14" i="5" s="1"/>
  <c r="AC14" i="5" s="1"/>
  <c r="AD14" i="5" s="1"/>
  <c r="O10" i="5"/>
  <c r="L10" i="5"/>
  <c r="Q10" i="5"/>
  <c r="Y18" i="5"/>
  <c r="AC18" i="5" s="1"/>
  <c r="AD18" i="5" s="1"/>
  <c r="S21" i="5"/>
  <c r="T21" i="5" s="1"/>
  <c r="L24" i="5"/>
  <c r="AB23" i="5"/>
  <c r="AC23" i="5" s="1"/>
  <c r="AD23" i="5" s="1"/>
  <c r="P11" i="5"/>
  <c r="E11" i="5"/>
  <c r="E10" i="5" s="1"/>
  <c r="J15" i="5"/>
  <c r="K15" i="5" s="1"/>
  <c r="D10" i="5"/>
  <c r="N11" i="5"/>
  <c r="N10" i="5" s="1"/>
  <c r="G11" i="5"/>
  <c r="R17" i="5"/>
  <c r="J19" i="5"/>
  <c r="K19" i="5" s="1"/>
  <c r="Y19" i="5"/>
  <c r="AC19" i="5" s="1"/>
  <c r="AD19" i="5" s="1"/>
  <c r="P17" i="5"/>
  <c r="J18" i="5"/>
  <c r="K18" i="5" s="1"/>
  <c r="G17" i="5"/>
  <c r="U10" i="5"/>
  <c r="M10" i="5"/>
  <c r="AB27" i="5"/>
  <c r="G27" i="5"/>
  <c r="G24" i="5"/>
  <c r="AC28" i="5"/>
  <c r="AD28" i="5" s="1"/>
  <c r="D24" i="5"/>
  <c r="J28" i="5"/>
  <c r="J27" i="5" s="1"/>
  <c r="Y16" i="5"/>
  <c r="AC16" i="5" s="1"/>
  <c r="AD16" i="5" s="1"/>
  <c r="S18" i="5"/>
  <c r="V27" i="5"/>
  <c r="AC29" i="5"/>
  <c r="AD29" i="5" s="1"/>
  <c r="F10" i="5"/>
  <c r="J12" i="5"/>
  <c r="I17" i="5"/>
  <c r="V25" i="5"/>
  <c r="Y20" i="5"/>
  <c r="AC20" i="5" s="1"/>
  <c r="AD20" i="5" s="1"/>
  <c r="V17" i="5"/>
  <c r="V10" i="5" s="1"/>
  <c r="I25" i="5"/>
  <c r="Y21" i="5"/>
  <c r="AC21" i="5" s="1"/>
  <c r="AD21" i="5" s="1"/>
  <c r="Y25" i="5"/>
  <c r="Y24" i="5" s="1"/>
  <c r="I27" i="5"/>
  <c r="AB11" i="2"/>
  <c r="AB19" i="2"/>
  <c r="AD33" i="3" l="1"/>
  <c r="AD32" i="3" s="1"/>
  <c r="AC33" i="3"/>
  <c r="AC32" i="3" s="1"/>
  <c r="AD13" i="3"/>
  <c r="AD11" i="3" s="1"/>
  <c r="AD10" i="3" s="1"/>
  <c r="AC11" i="3"/>
  <c r="AC10" i="3" s="1"/>
  <c r="K28" i="5"/>
  <c r="K27" i="5" s="1"/>
  <c r="AC30" i="5"/>
  <c r="AD30" i="5" s="1"/>
  <c r="K26" i="5"/>
  <c r="K25" i="5" s="1"/>
  <c r="K24" i="5" s="1"/>
  <c r="R11" i="5"/>
  <c r="R10" i="5" s="1"/>
  <c r="AC12" i="5"/>
  <c r="AD12" i="5" s="1"/>
  <c r="AD11" i="5" s="1"/>
  <c r="I11" i="5"/>
  <c r="I10" i="5" s="1"/>
  <c r="AB17" i="5"/>
  <c r="AB10" i="5" s="1"/>
  <c r="Y13" i="5"/>
  <c r="AC13" i="5" s="1"/>
  <c r="AD13" i="5" s="1"/>
  <c r="S14" i="5"/>
  <c r="T14" i="5" s="1"/>
  <c r="S12" i="5"/>
  <c r="P10" i="5"/>
  <c r="G10" i="5"/>
  <c r="K17" i="5"/>
  <c r="J17" i="5"/>
  <c r="V24" i="5"/>
  <c r="I24" i="5"/>
  <c r="AD27" i="5"/>
  <c r="S17" i="5"/>
  <c r="T18" i="5"/>
  <c r="T17" i="5" s="1"/>
  <c r="AB25" i="5"/>
  <c r="AB24" i="5" s="1"/>
  <c r="Y17" i="5"/>
  <c r="AC22" i="5"/>
  <c r="AD22" i="5" s="1"/>
  <c r="AD17" i="5" s="1"/>
  <c r="K12" i="5"/>
  <c r="K11" i="5" s="1"/>
  <c r="J11" i="5"/>
  <c r="J25" i="5"/>
  <c r="J24" i="5" s="1"/>
  <c r="AD25" i="5"/>
  <c r="AC25" i="5"/>
  <c r="R30" i="2"/>
  <c r="S30" i="2" s="1"/>
  <c r="T30" i="2" s="1"/>
  <c r="P30" i="2"/>
  <c r="Y30" i="2" s="1"/>
  <c r="V30" i="2"/>
  <c r="J30" i="2"/>
  <c r="K30" i="2" s="1"/>
  <c r="I30" i="2"/>
  <c r="G30" i="2"/>
  <c r="R33" i="2"/>
  <c r="S33" i="2" s="1"/>
  <c r="T33" i="2" s="1"/>
  <c r="V32" i="2"/>
  <c r="V33" i="2"/>
  <c r="V34" i="2"/>
  <c r="V31" i="2"/>
  <c r="V29" i="2"/>
  <c r="P28" i="2"/>
  <c r="G28" i="2"/>
  <c r="V28" i="2"/>
  <c r="P27" i="2"/>
  <c r="Y27" i="2" s="1"/>
  <c r="V27" i="2"/>
  <c r="V26" i="2"/>
  <c r="P17" i="2"/>
  <c r="V17" i="2"/>
  <c r="G17" i="2"/>
  <c r="AB24" i="2"/>
  <c r="P25" i="2"/>
  <c r="Y24" i="2"/>
  <c r="AB26" i="2"/>
  <c r="R27" i="2"/>
  <c r="R28" i="2"/>
  <c r="S28" i="2" s="1"/>
  <c r="T28" i="2" s="1"/>
  <c r="R29" i="2"/>
  <c r="AB31" i="2"/>
  <c r="R32" i="2"/>
  <c r="Y26" i="2"/>
  <c r="S27" i="2"/>
  <c r="T27" i="2" s="1"/>
  <c r="P29" i="2"/>
  <c r="S31" i="2"/>
  <c r="T31" i="2" s="1"/>
  <c r="Y32" i="2"/>
  <c r="J26" i="2"/>
  <c r="K26" i="2" s="1"/>
  <c r="J31" i="2"/>
  <c r="K31" i="2" s="1"/>
  <c r="I25" i="2"/>
  <c r="J25" i="2" s="1"/>
  <c r="K25" i="2" s="1"/>
  <c r="I27" i="2"/>
  <c r="J27" i="2" s="1"/>
  <c r="K27" i="2" s="1"/>
  <c r="I28" i="2"/>
  <c r="I29" i="2"/>
  <c r="I32" i="2"/>
  <c r="G29" i="2"/>
  <c r="Y29" i="2" s="1"/>
  <c r="Y31" i="2"/>
  <c r="G32" i="2"/>
  <c r="G34" i="2"/>
  <c r="V14" i="2"/>
  <c r="N24" i="2"/>
  <c r="W24" i="2" s="1"/>
  <c r="W19" i="2" s="1"/>
  <c r="E24" i="2"/>
  <c r="E19" i="2" s="1"/>
  <c r="V15" i="2"/>
  <c r="P15" i="2"/>
  <c r="G15" i="2"/>
  <c r="P23" i="2"/>
  <c r="G23" i="2"/>
  <c r="V22" i="2"/>
  <c r="V23" i="2"/>
  <c r="V24" i="2"/>
  <c r="P22" i="2"/>
  <c r="G22" i="2"/>
  <c r="N12" i="2"/>
  <c r="P12" i="2" s="1"/>
  <c r="G12" i="2"/>
  <c r="E12" i="2"/>
  <c r="V13" i="2"/>
  <c r="P13" i="2"/>
  <c r="G13" i="2"/>
  <c r="V21" i="2"/>
  <c r="P21" i="2"/>
  <c r="G21" i="2"/>
  <c r="V16" i="2"/>
  <c r="P16" i="2"/>
  <c r="G16" i="2"/>
  <c r="P18" i="2"/>
  <c r="N18" i="2"/>
  <c r="E18" i="2"/>
  <c r="I18" i="2" s="1"/>
  <c r="R16" i="2"/>
  <c r="R15" i="2"/>
  <c r="R17" i="2"/>
  <c r="I16" i="2"/>
  <c r="I17" i="2"/>
  <c r="V20" i="2"/>
  <c r="V43" i="2"/>
  <c r="AC43" i="2" s="1"/>
  <c r="AD43" i="2" s="1"/>
  <c r="J43" i="2"/>
  <c r="K43" i="2" s="1"/>
  <c r="V42" i="2"/>
  <c r="J42" i="2"/>
  <c r="K42" i="2" s="1"/>
  <c r="V41" i="2"/>
  <c r="I41" i="2"/>
  <c r="AB41" i="2" s="1"/>
  <c r="AB40" i="2" s="1"/>
  <c r="AA40" i="2"/>
  <c r="AA35" i="2" s="1"/>
  <c r="Z40" i="2"/>
  <c r="Z35" i="2" s="1"/>
  <c r="Y40" i="2"/>
  <c r="X40" i="2"/>
  <c r="W40" i="2"/>
  <c r="U40" i="2"/>
  <c r="T40" i="2"/>
  <c r="S40" i="2"/>
  <c r="R40" i="2"/>
  <c r="Q40" i="2"/>
  <c r="P40" i="2"/>
  <c r="O40" i="2"/>
  <c r="N40" i="2"/>
  <c r="N35" i="2" s="1"/>
  <c r="M40" i="2"/>
  <c r="L40" i="2"/>
  <c r="H40" i="2"/>
  <c r="G40" i="2"/>
  <c r="F40" i="2"/>
  <c r="E40" i="2"/>
  <c r="D40" i="2"/>
  <c r="X39" i="2"/>
  <c r="V39" i="2"/>
  <c r="I39" i="2"/>
  <c r="G39" i="2"/>
  <c r="Y39" i="2" s="1"/>
  <c r="S38" i="2"/>
  <c r="T38" i="2" s="1"/>
  <c r="T36" i="2" s="1"/>
  <c r="I38" i="2"/>
  <c r="X37" i="2"/>
  <c r="W37" i="2"/>
  <c r="W36" i="2" s="1"/>
  <c r="V37" i="2"/>
  <c r="I37" i="2"/>
  <c r="AB37" i="2" s="1"/>
  <c r="G37" i="2"/>
  <c r="J37" i="2" s="1"/>
  <c r="AE36" i="2"/>
  <c r="AA36" i="2"/>
  <c r="Z36" i="2"/>
  <c r="U36" i="2"/>
  <c r="S36" i="2"/>
  <c r="R36" i="2"/>
  <c r="Q36" i="2"/>
  <c r="Q35" i="2" s="1"/>
  <c r="P36" i="2"/>
  <c r="O36" i="2"/>
  <c r="N36" i="2"/>
  <c r="M36" i="2"/>
  <c r="L36" i="2"/>
  <c r="H36" i="2"/>
  <c r="F36" i="2"/>
  <c r="E36" i="2"/>
  <c r="D36" i="2"/>
  <c r="I34" i="2"/>
  <c r="R25" i="2"/>
  <c r="AB25" i="2" s="1"/>
  <c r="R23" i="2"/>
  <c r="I23" i="2"/>
  <c r="R22" i="2"/>
  <c r="I22" i="2"/>
  <c r="J22" i="2" s="1"/>
  <c r="K22" i="2" s="1"/>
  <c r="R21" i="2"/>
  <c r="S21" i="2" s="1"/>
  <c r="T21" i="2" s="1"/>
  <c r="I21" i="2"/>
  <c r="S20" i="2"/>
  <c r="Y20" i="2"/>
  <c r="AC20" i="2" s="1"/>
  <c r="AD20" i="2" s="1"/>
  <c r="J20" i="2"/>
  <c r="K20" i="2" s="1"/>
  <c r="AA19" i="2"/>
  <c r="Z19" i="2"/>
  <c r="X19" i="2"/>
  <c r="U19" i="2"/>
  <c r="Q19" i="2"/>
  <c r="Q10" i="2" s="1"/>
  <c r="O19" i="2"/>
  <c r="M19" i="2"/>
  <c r="L19" i="2"/>
  <c r="H19" i="2"/>
  <c r="F19" i="2"/>
  <c r="D19" i="2"/>
  <c r="I12" i="2"/>
  <c r="J12" i="2"/>
  <c r="K12" i="2" s="1"/>
  <c r="AA11" i="2"/>
  <c r="Z11" i="2"/>
  <c r="X11" i="2"/>
  <c r="U11" i="2"/>
  <c r="Q11" i="2"/>
  <c r="O11" i="2"/>
  <c r="M11" i="2"/>
  <c r="M10" i="2" s="1"/>
  <c r="L11" i="2"/>
  <c r="L10" i="2" s="1"/>
  <c r="H11" i="2"/>
  <c r="F11" i="2"/>
  <c r="D11" i="2"/>
  <c r="AA10" i="2"/>
  <c r="AC27" i="5" l="1"/>
  <c r="AC24" i="5" s="1"/>
  <c r="AC11" i="5"/>
  <c r="S11" i="5"/>
  <c r="Y11" i="5"/>
  <c r="T12" i="5"/>
  <c r="T11" i="5" s="1"/>
  <c r="T10" i="5" s="1"/>
  <c r="AC17" i="5"/>
  <c r="AC10" i="5" s="1"/>
  <c r="S10" i="5"/>
  <c r="K10" i="5"/>
  <c r="AD10" i="5"/>
  <c r="J10" i="5"/>
  <c r="AD24" i="5"/>
  <c r="Y10" i="5"/>
  <c r="E35" i="2"/>
  <c r="F35" i="2"/>
  <c r="W35" i="2"/>
  <c r="V11" i="2"/>
  <c r="AB30" i="2"/>
  <c r="AC30" i="2" s="1"/>
  <c r="AD30" i="2" s="1"/>
  <c r="J23" i="2"/>
  <c r="K23" i="2" s="1"/>
  <c r="W18" i="2"/>
  <c r="O10" i="2"/>
  <c r="Z10" i="2"/>
  <c r="G18" i="2"/>
  <c r="H10" i="2"/>
  <c r="N19" i="2"/>
  <c r="S24" i="2"/>
  <c r="T24" i="2" s="1"/>
  <c r="R35" i="2"/>
  <c r="M35" i="2"/>
  <c r="AB28" i="2"/>
  <c r="AC41" i="2"/>
  <c r="AD41" i="2" s="1"/>
  <c r="O35" i="2"/>
  <c r="S35" i="2"/>
  <c r="T35" i="2"/>
  <c r="L35" i="2"/>
  <c r="P35" i="2"/>
  <c r="J41" i="2"/>
  <c r="K41" i="2" s="1"/>
  <c r="K40" i="2" s="1"/>
  <c r="I36" i="2"/>
  <c r="X36" i="2"/>
  <c r="X35" i="2" s="1"/>
  <c r="AC39" i="2"/>
  <c r="AD39" i="2" s="1"/>
  <c r="AC32" i="2"/>
  <c r="AD32" i="2" s="1"/>
  <c r="AB17" i="2"/>
  <c r="J32" i="2"/>
  <c r="K32" i="2" s="1"/>
  <c r="AB32" i="2"/>
  <c r="AB33" i="2"/>
  <c r="AC33" i="2" s="1"/>
  <c r="AD33" i="2" s="1"/>
  <c r="S34" i="2"/>
  <c r="T34" i="2" s="1"/>
  <c r="AB34" i="2"/>
  <c r="AC34" i="2" s="1"/>
  <c r="AD34" i="2" s="1"/>
  <c r="AB23" i="2"/>
  <c r="J28" i="2"/>
  <c r="K28" i="2" s="1"/>
  <c r="S32" i="2"/>
  <c r="T32" i="2" s="1"/>
  <c r="AB21" i="2"/>
  <c r="S29" i="2"/>
  <c r="T29" i="2" s="1"/>
  <c r="AC31" i="2"/>
  <c r="AD31" i="2" s="1"/>
  <c r="AB29" i="2"/>
  <c r="AC29" i="2"/>
  <c r="AD29" i="2" s="1"/>
  <c r="J29" i="2"/>
  <c r="K29" i="2" s="1"/>
  <c r="Y28" i="2"/>
  <c r="AB27" i="2"/>
  <c r="U10" i="2"/>
  <c r="S26" i="2"/>
  <c r="T26" i="2" s="1"/>
  <c r="AC26" i="2"/>
  <c r="AD26" i="2" s="1"/>
  <c r="Y25" i="2"/>
  <c r="AC25" i="2" s="1"/>
  <c r="AD25" i="2" s="1"/>
  <c r="S25" i="2"/>
  <c r="T25" i="2" s="1"/>
  <c r="J34" i="2"/>
  <c r="K34" i="2" s="1"/>
  <c r="AB22" i="2"/>
  <c r="S23" i="2"/>
  <c r="T23" i="2" s="1"/>
  <c r="S17" i="2"/>
  <c r="T17" i="2" s="1"/>
  <c r="X10" i="2"/>
  <c r="AB16" i="2"/>
  <c r="Y17" i="2"/>
  <c r="AC17" i="2" s="1"/>
  <c r="AD17" i="2" s="1"/>
  <c r="R19" i="2"/>
  <c r="S16" i="2"/>
  <c r="T16" i="2" s="1"/>
  <c r="Y14" i="2"/>
  <c r="AC14" i="2" s="1"/>
  <c r="AD14" i="2" s="1"/>
  <c r="S14" i="2"/>
  <c r="T14" i="2" s="1"/>
  <c r="J14" i="2"/>
  <c r="K14" i="2" s="1"/>
  <c r="I15" i="2"/>
  <c r="S22" i="2"/>
  <c r="T22" i="2" s="1"/>
  <c r="F10" i="2"/>
  <c r="Y22" i="2"/>
  <c r="Y13" i="2"/>
  <c r="R13" i="2"/>
  <c r="I13" i="2"/>
  <c r="J21" i="2"/>
  <c r="K21" i="2" s="1"/>
  <c r="R18" i="2"/>
  <c r="AB18" i="2" s="1"/>
  <c r="E11" i="2"/>
  <c r="E10" i="2" s="1"/>
  <c r="D10" i="2"/>
  <c r="W11" i="2"/>
  <c r="W10" i="2" s="1"/>
  <c r="Y21" i="2"/>
  <c r="G19" i="2"/>
  <c r="T20" i="2"/>
  <c r="V36" i="2"/>
  <c r="V19" i="2"/>
  <c r="AB38" i="2"/>
  <c r="AC38" i="2" s="1"/>
  <c r="AD38" i="2" s="1"/>
  <c r="V40" i="2"/>
  <c r="AC42" i="2"/>
  <c r="AD42" i="2" s="1"/>
  <c r="N11" i="2"/>
  <c r="P19" i="2"/>
  <c r="Y23" i="2"/>
  <c r="G36" i="2"/>
  <c r="G35" i="2" s="1"/>
  <c r="J38" i="2"/>
  <c r="K38" i="2" s="1"/>
  <c r="R12" i="2"/>
  <c r="D35" i="2"/>
  <c r="H35" i="2"/>
  <c r="K37" i="2"/>
  <c r="Y37" i="2"/>
  <c r="Y36" i="2" s="1"/>
  <c r="Y35" i="2" s="1"/>
  <c r="J39" i="2"/>
  <c r="K39" i="2" s="1"/>
  <c r="I40" i="2"/>
  <c r="AB20" i="4"/>
  <c r="AB19" i="4"/>
  <c r="AB14" i="4"/>
  <c r="N10" i="2" l="1"/>
  <c r="V10" i="2"/>
  <c r="AC28" i="2"/>
  <c r="AD28" i="2" s="1"/>
  <c r="J40" i="2"/>
  <c r="AC40" i="2"/>
  <c r="AD40" i="2"/>
  <c r="I35" i="2"/>
  <c r="K36" i="2"/>
  <c r="K35" i="2" s="1"/>
  <c r="AC22" i="2"/>
  <c r="AD22" i="2" s="1"/>
  <c r="AC21" i="2"/>
  <c r="AD21" i="2" s="1"/>
  <c r="AC27" i="2"/>
  <c r="AD27" i="2" s="1"/>
  <c r="AB13" i="2"/>
  <c r="J15" i="2"/>
  <c r="K15" i="2" s="1"/>
  <c r="AB15" i="2"/>
  <c r="J17" i="2"/>
  <c r="K17" i="2" s="1"/>
  <c r="I19" i="2"/>
  <c r="J24" i="2"/>
  <c r="Y15" i="2"/>
  <c r="AC15" i="2" s="1"/>
  <c r="AD15" i="2" s="1"/>
  <c r="S15" i="2"/>
  <c r="T15" i="2" s="1"/>
  <c r="I11" i="2"/>
  <c r="T19" i="2"/>
  <c r="S19" i="2"/>
  <c r="S13" i="2"/>
  <c r="T13" i="2" s="1"/>
  <c r="J13" i="2"/>
  <c r="K13" i="2" s="1"/>
  <c r="Y16" i="2"/>
  <c r="AC16" i="2" s="1"/>
  <c r="AD16" i="2" s="1"/>
  <c r="J16" i="2"/>
  <c r="K16" i="2" s="1"/>
  <c r="S18" i="2"/>
  <c r="T18" i="2" s="1"/>
  <c r="R11" i="2"/>
  <c r="R10" i="2" s="1"/>
  <c r="Y18" i="2"/>
  <c r="AC18" i="2" s="1"/>
  <c r="AD18" i="2" s="1"/>
  <c r="J18" i="2"/>
  <c r="K18" i="2" s="1"/>
  <c r="G11" i="2"/>
  <c r="G10" i="2" s="1"/>
  <c r="P11" i="2"/>
  <c r="P10" i="2" s="1"/>
  <c r="Y12" i="2"/>
  <c r="AC24" i="2"/>
  <c r="AD24" i="2" s="1"/>
  <c r="S12" i="2"/>
  <c r="AC37" i="2"/>
  <c r="J36" i="2"/>
  <c r="V35" i="2"/>
  <c r="AC23" i="2"/>
  <c r="Y19" i="2"/>
  <c r="AB36" i="2"/>
  <c r="AB35" i="2" s="1"/>
  <c r="AD25" i="4"/>
  <c r="AC25" i="4"/>
  <c r="AC23" i="4" s="1"/>
  <c r="AB25" i="4"/>
  <c r="T25" i="4"/>
  <c r="S25" i="4"/>
  <c r="S23" i="4" s="1"/>
  <c r="K25" i="4"/>
  <c r="J25" i="4"/>
  <c r="I25" i="4"/>
  <c r="I23" i="4" s="1"/>
  <c r="AC19" i="4"/>
  <c r="AD19" i="4" s="1"/>
  <c r="AC20" i="4"/>
  <c r="AD20" i="4" s="1"/>
  <c r="V20" i="4"/>
  <c r="V19" i="4"/>
  <c r="R19" i="4"/>
  <c r="S19" i="4" s="1"/>
  <c r="T19" i="4" s="1"/>
  <c r="R20" i="4"/>
  <c r="S20" i="4" s="1"/>
  <c r="T20" i="4" s="1"/>
  <c r="I20" i="4"/>
  <c r="J20" i="4" s="1"/>
  <c r="K20" i="4" s="1"/>
  <c r="I19" i="4"/>
  <c r="J19" i="4" s="1"/>
  <c r="K19" i="4" s="1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D27" i="4"/>
  <c r="E23" i="4"/>
  <c r="F23" i="4"/>
  <c r="G23" i="4"/>
  <c r="H23" i="4"/>
  <c r="J23" i="4"/>
  <c r="K23" i="4"/>
  <c r="L23" i="4"/>
  <c r="M23" i="4"/>
  <c r="N23" i="4"/>
  <c r="O23" i="4"/>
  <c r="P23" i="4"/>
  <c r="Q23" i="4"/>
  <c r="R23" i="4"/>
  <c r="T23" i="4"/>
  <c r="U23" i="4"/>
  <c r="V23" i="4"/>
  <c r="W23" i="4"/>
  <c r="X23" i="4"/>
  <c r="Y23" i="4"/>
  <c r="Z23" i="4"/>
  <c r="AA23" i="4"/>
  <c r="AB23" i="4"/>
  <c r="AD23" i="4"/>
  <c r="AE23" i="4"/>
  <c r="D23" i="4"/>
  <c r="V30" i="4"/>
  <c r="AD29" i="4"/>
  <c r="AC29" i="4"/>
  <c r="AC30" i="4"/>
  <c r="AD30" i="4" s="1"/>
  <c r="V29" i="4"/>
  <c r="K29" i="4"/>
  <c r="J29" i="4"/>
  <c r="J30" i="4"/>
  <c r="K30" i="4" s="1"/>
  <c r="AD26" i="4"/>
  <c r="AC26" i="4"/>
  <c r="Y26" i="4"/>
  <c r="X26" i="4"/>
  <c r="V26" i="4"/>
  <c r="K26" i="4"/>
  <c r="J26" i="4"/>
  <c r="I26" i="4"/>
  <c r="G26" i="4"/>
  <c r="J35" i="2" l="1"/>
  <c r="AB10" i="2"/>
  <c r="AC13" i="2"/>
  <c r="AD13" i="2" s="1"/>
  <c r="K24" i="2"/>
  <c r="K19" i="2" s="1"/>
  <c r="J19" i="2"/>
  <c r="I10" i="2"/>
  <c r="K11" i="2"/>
  <c r="J11" i="2"/>
  <c r="AD23" i="2"/>
  <c r="AD19" i="2" s="1"/>
  <c r="AC19" i="2"/>
  <c r="AD37" i="2"/>
  <c r="AD36" i="2" s="1"/>
  <c r="AD35" i="2" s="1"/>
  <c r="AC36" i="2"/>
  <c r="AC35" i="2" s="1"/>
  <c r="S11" i="2"/>
  <c r="S10" i="2" s="1"/>
  <c r="T12" i="2"/>
  <c r="T11" i="2" s="1"/>
  <c r="T10" i="2" s="1"/>
  <c r="Y11" i="2"/>
  <c r="Y10" i="2" s="1"/>
  <c r="AC12" i="2"/>
  <c r="AA22" i="4"/>
  <c r="V28" i="4"/>
  <c r="J28" i="4"/>
  <c r="K28" i="4" s="1"/>
  <c r="I28" i="4"/>
  <c r="AB28" i="4" s="1"/>
  <c r="AC28" i="4" s="1"/>
  <c r="AD28" i="4" s="1"/>
  <c r="G24" i="4"/>
  <c r="Y24" i="4" s="1"/>
  <c r="Y22" i="4" s="1"/>
  <c r="P21" i="4"/>
  <c r="G21" i="4"/>
  <c r="P18" i="4"/>
  <c r="G18" i="4"/>
  <c r="P17" i="4"/>
  <c r="G17" i="4"/>
  <c r="P16" i="4"/>
  <c r="G16" i="4"/>
  <c r="P15" i="4"/>
  <c r="I16" i="4"/>
  <c r="I17" i="4"/>
  <c r="I18" i="4"/>
  <c r="I21" i="4"/>
  <c r="R16" i="4"/>
  <c r="S16" i="4" s="1"/>
  <c r="T16" i="4" s="1"/>
  <c r="R17" i="4"/>
  <c r="R18" i="4"/>
  <c r="S18" i="4" s="1"/>
  <c r="T18" i="4" s="1"/>
  <c r="R21" i="4"/>
  <c r="I15" i="4"/>
  <c r="G15" i="4"/>
  <c r="J15" i="4" s="1"/>
  <c r="Y13" i="4"/>
  <c r="AC13" i="4" s="1"/>
  <c r="AD13" i="4" s="1"/>
  <c r="R13" i="4"/>
  <c r="P13" i="4"/>
  <c r="G13" i="4"/>
  <c r="P12" i="4"/>
  <c r="N12" i="4"/>
  <c r="E12" i="4"/>
  <c r="G12" i="4" s="1"/>
  <c r="X24" i="4"/>
  <c r="X22" i="4" s="1"/>
  <c r="V24" i="4"/>
  <c r="I24" i="4"/>
  <c r="I22" i="4" s="1"/>
  <c r="Z22" i="4"/>
  <c r="T22" i="4"/>
  <c r="R22" i="4"/>
  <c r="P22" i="4"/>
  <c r="N22" i="4"/>
  <c r="L22" i="4"/>
  <c r="H22" i="4"/>
  <c r="F22" i="4"/>
  <c r="D22" i="4"/>
  <c r="S22" i="4"/>
  <c r="V21" i="4"/>
  <c r="V14" i="4" s="1"/>
  <c r="R15" i="4"/>
  <c r="S15" i="4" s="1"/>
  <c r="AA14" i="4"/>
  <c r="Z14" i="4"/>
  <c r="X14" i="4"/>
  <c r="W14" i="4"/>
  <c r="U14" i="4"/>
  <c r="Q14" i="4"/>
  <c r="O14" i="4"/>
  <c r="N14" i="4"/>
  <c r="M14" i="4"/>
  <c r="L14" i="4"/>
  <c r="H14" i="4"/>
  <c r="F14" i="4"/>
  <c r="E14" i="4"/>
  <c r="D14" i="4"/>
  <c r="W13" i="4"/>
  <c r="W11" i="4" s="1"/>
  <c r="I13" i="4"/>
  <c r="R12" i="4"/>
  <c r="AB11" i="4"/>
  <c r="AA11" i="4"/>
  <c r="AA10" i="4" s="1"/>
  <c r="Z11" i="4"/>
  <c r="X11" i="4"/>
  <c r="V11" i="4"/>
  <c r="U11" i="4"/>
  <c r="Q11" i="4"/>
  <c r="O11" i="4"/>
  <c r="N11" i="4"/>
  <c r="M11" i="4"/>
  <c r="L11" i="4"/>
  <c r="H11" i="4"/>
  <c r="F11" i="4"/>
  <c r="E11" i="4"/>
  <c r="E10" i="4" s="1"/>
  <c r="D11" i="4"/>
  <c r="O10" i="4"/>
  <c r="J10" i="2" l="1"/>
  <c r="K10" i="2"/>
  <c r="AD12" i="2"/>
  <c r="AD11" i="2" s="1"/>
  <c r="AD10" i="2" s="1"/>
  <c r="AC11" i="2"/>
  <c r="AC10" i="2" s="1"/>
  <c r="J16" i="4"/>
  <c r="K16" i="4" s="1"/>
  <c r="J17" i="4"/>
  <c r="K17" i="4" s="1"/>
  <c r="E22" i="4"/>
  <c r="M22" i="4"/>
  <c r="Q22" i="4"/>
  <c r="V22" i="4"/>
  <c r="O22" i="4"/>
  <c r="N10" i="4"/>
  <c r="AB10" i="4"/>
  <c r="W10" i="4"/>
  <c r="S17" i="4"/>
  <c r="T17" i="4" s="1"/>
  <c r="H10" i="4"/>
  <c r="X10" i="4"/>
  <c r="I12" i="4"/>
  <c r="P11" i="4"/>
  <c r="L10" i="4"/>
  <c r="Q10" i="4"/>
  <c r="Z10" i="4"/>
  <c r="AB24" i="4"/>
  <c r="AB22" i="4" s="1"/>
  <c r="W24" i="4"/>
  <c r="W22" i="4" s="1"/>
  <c r="S21" i="4"/>
  <c r="T21" i="4" s="1"/>
  <c r="Y21" i="4"/>
  <c r="AC21" i="4" s="1"/>
  <c r="AD21" i="4" s="1"/>
  <c r="F10" i="4"/>
  <c r="J21" i="4"/>
  <c r="K21" i="4" s="1"/>
  <c r="V10" i="4"/>
  <c r="U10" i="4"/>
  <c r="Y18" i="4"/>
  <c r="AC18" i="4" s="1"/>
  <c r="AD18" i="4" s="1"/>
  <c r="J18" i="4"/>
  <c r="K18" i="4" s="1"/>
  <c r="Y17" i="4"/>
  <c r="AC17" i="4" s="1"/>
  <c r="AD17" i="4" s="1"/>
  <c r="Y16" i="4"/>
  <c r="AC16" i="4" s="1"/>
  <c r="AD16" i="4" s="1"/>
  <c r="D10" i="4"/>
  <c r="M10" i="4"/>
  <c r="R14" i="4"/>
  <c r="G14" i="4"/>
  <c r="I14" i="4"/>
  <c r="K15" i="4"/>
  <c r="Y15" i="4"/>
  <c r="AC15" i="4" s="1"/>
  <c r="R11" i="4"/>
  <c r="J12" i="4"/>
  <c r="K12" i="4" s="1"/>
  <c r="Y12" i="4"/>
  <c r="Y11" i="4" s="1"/>
  <c r="G11" i="4"/>
  <c r="J13" i="4"/>
  <c r="K13" i="4" s="1"/>
  <c r="S12" i="4"/>
  <c r="S13" i="4"/>
  <c r="T13" i="4" s="1"/>
  <c r="T15" i="4"/>
  <c r="J24" i="4"/>
  <c r="P14" i="4"/>
  <c r="P10" i="4" s="1"/>
  <c r="G22" i="4"/>
  <c r="I11" i="4"/>
  <c r="V13" i="1"/>
  <c r="N13" i="1"/>
  <c r="E13" i="1"/>
  <c r="J14" i="4" l="1"/>
  <c r="S14" i="4"/>
  <c r="AC24" i="4"/>
  <c r="AC22" i="4" s="1"/>
  <c r="T14" i="4"/>
  <c r="K14" i="4"/>
  <c r="I10" i="4"/>
  <c r="G10" i="4"/>
  <c r="Y14" i="4"/>
  <c r="Y10" i="4" s="1"/>
  <c r="R10" i="4"/>
  <c r="AC12" i="4"/>
  <c r="AC11" i="4" s="1"/>
  <c r="AD15" i="4"/>
  <c r="AD14" i="4" s="1"/>
  <c r="AC14" i="4"/>
  <c r="K11" i="4"/>
  <c r="K24" i="4"/>
  <c r="K22" i="4" s="1"/>
  <c r="J22" i="4"/>
  <c r="T12" i="4"/>
  <c r="T11" i="4" s="1"/>
  <c r="S11" i="4"/>
  <c r="J11" i="4"/>
  <c r="G13" i="1"/>
  <c r="I13" i="1"/>
  <c r="P13" i="1"/>
  <c r="Y13" i="1" s="1"/>
  <c r="W13" i="1"/>
  <c r="AC13" i="1" s="1"/>
  <c r="AD13" i="1" s="1"/>
  <c r="AB15" i="1"/>
  <c r="AA15" i="1"/>
  <c r="Z15" i="1"/>
  <c r="X15" i="1"/>
  <c r="Q15" i="1"/>
  <c r="O15" i="1"/>
  <c r="N15" i="1"/>
  <c r="M15" i="1"/>
  <c r="L15" i="1"/>
  <c r="H15" i="1"/>
  <c r="F15" i="1"/>
  <c r="D15" i="1"/>
  <c r="X20" i="1"/>
  <c r="E15" i="1"/>
  <c r="J10" i="4" l="1"/>
  <c r="S10" i="4"/>
  <c r="AD24" i="4"/>
  <c r="AD22" i="4" s="1"/>
  <c r="T10" i="4"/>
  <c r="K10" i="4"/>
  <c r="AC10" i="4"/>
  <c r="AD12" i="4"/>
  <c r="AD11" i="4" s="1"/>
  <c r="AD10" i="4" s="1"/>
  <c r="J13" i="1"/>
  <c r="K13" i="1" s="1"/>
  <c r="S13" i="1"/>
  <c r="T13" i="1" s="1"/>
  <c r="W15" i="1"/>
  <c r="G15" i="1"/>
  <c r="I15" i="1"/>
  <c r="P18" i="1"/>
  <c r="Z18" i="1"/>
  <c r="F19" i="1"/>
  <c r="F18" i="1" s="1"/>
  <c r="H19" i="1"/>
  <c r="H18" i="1" s="1"/>
  <c r="L19" i="1"/>
  <c r="L18" i="1" s="1"/>
  <c r="M19" i="1"/>
  <c r="M18" i="1" s="1"/>
  <c r="N19" i="1"/>
  <c r="N18" i="1" s="1"/>
  <c r="O19" i="1"/>
  <c r="O18" i="1" s="1"/>
  <c r="P19" i="1"/>
  <c r="Q19" i="1"/>
  <c r="Q18" i="1" s="1"/>
  <c r="R19" i="1"/>
  <c r="R18" i="1" s="1"/>
  <c r="S19" i="1"/>
  <c r="S18" i="1" s="1"/>
  <c r="T19" i="1"/>
  <c r="T18" i="1" s="1"/>
  <c r="U19" i="1"/>
  <c r="U18" i="1" s="1"/>
  <c r="X19" i="1"/>
  <c r="X18" i="1" s="1"/>
  <c r="Z19" i="1"/>
  <c r="AA19" i="1"/>
  <c r="AA18" i="1" s="1"/>
  <c r="D19" i="1"/>
  <c r="D18" i="1" s="1"/>
  <c r="AB10" i="1"/>
  <c r="U15" i="1"/>
  <c r="E11" i="1"/>
  <c r="E10" i="1" s="1"/>
  <c r="F11" i="1"/>
  <c r="F10" i="1" s="1"/>
  <c r="H11" i="1"/>
  <c r="H10" i="1" s="1"/>
  <c r="L11" i="1"/>
  <c r="L10" i="1" s="1"/>
  <c r="M11" i="1"/>
  <c r="M10" i="1" s="1"/>
  <c r="N11" i="1"/>
  <c r="N10" i="1" s="1"/>
  <c r="O11" i="1"/>
  <c r="O10" i="1" s="1"/>
  <c r="Q11" i="1"/>
  <c r="Q10" i="1" s="1"/>
  <c r="U11" i="1"/>
  <c r="V11" i="1"/>
  <c r="W11" i="1"/>
  <c r="X11" i="1"/>
  <c r="X10" i="1" s="1"/>
  <c r="Z11" i="1"/>
  <c r="Z10" i="1" s="1"/>
  <c r="AA11" i="1"/>
  <c r="AA10" i="1" s="1"/>
  <c r="AB11" i="1"/>
  <c r="D11" i="1"/>
  <c r="D10" i="1" s="1"/>
  <c r="V20" i="1"/>
  <c r="V19" i="1" s="1"/>
  <c r="V18" i="1" s="1"/>
  <c r="E20" i="1"/>
  <c r="I20" i="1" s="1"/>
  <c r="AB20" i="1" s="1"/>
  <c r="AB19" i="1" s="1"/>
  <c r="AB18" i="1" s="1"/>
  <c r="V17" i="1"/>
  <c r="AC17" i="1" s="1"/>
  <c r="AD17" i="1" s="1"/>
  <c r="S17" i="1"/>
  <c r="T17" i="1" s="1"/>
  <c r="J17" i="1"/>
  <c r="V16" i="1"/>
  <c r="V15" i="1" s="1"/>
  <c r="R16" i="1"/>
  <c r="R15" i="1" s="1"/>
  <c r="P16" i="1"/>
  <c r="P15" i="1" s="1"/>
  <c r="R14" i="1"/>
  <c r="P14" i="1"/>
  <c r="I14" i="1"/>
  <c r="G14" i="1"/>
  <c r="R12" i="1"/>
  <c r="R11" i="1" s="1"/>
  <c r="P12" i="1"/>
  <c r="P11" i="1" s="1"/>
  <c r="I12" i="1"/>
  <c r="I11" i="1" s="1"/>
  <c r="I10" i="1" s="1"/>
  <c r="G12" i="1"/>
  <c r="G11" i="1" s="1"/>
  <c r="G10" i="1" s="1"/>
  <c r="Y16" i="1" l="1"/>
  <c r="Y15" i="1" s="1"/>
  <c r="V10" i="1"/>
  <c r="W10" i="1"/>
  <c r="K17" i="1"/>
  <c r="U10" i="1"/>
  <c r="P10" i="1"/>
  <c r="R10" i="1"/>
  <c r="I19" i="1"/>
  <c r="I18" i="1" s="1"/>
  <c r="E19" i="1"/>
  <c r="E18" i="1" s="1"/>
  <c r="S12" i="1"/>
  <c r="J14" i="1"/>
  <c r="K14" i="1" s="1"/>
  <c r="J12" i="1"/>
  <c r="S14" i="1"/>
  <c r="T14" i="1" s="1"/>
  <c r="W20" i="1"/>
  <c r="W19" i="1" s="1"/>
  <c r="W18" i="1" s="1"/>
  <c r="G20" i="1"/>
  <c r="S16" i="1"/>
  <c r="S15" i="1" s="1"/>
  <c r="Y12" i="1"/>
  <c r="Y14" i="1"/>
  <c r="AC14" i="1" s="1"/>
  <c r="AD14" i="1" s="1"/>
  <c r="AC16" i="1" l="1"/>
  <c r="AC15" i="1" s="1"/>
  <c r="J15" i="1"/>
  <c r="K15" i="1"/>
  <c r="AC12" i="1"/>
  <c r="Y11" i="1"/>
  <c r="Y10" i="1" s="1"/>
  <c r="Y20" i="1"/>
  <c r="Y19" i="1" s="1"/>
  <c r="Y18" i="1" s="1"/>
  <c r="G19" i="1"/>
  <c r="G18" i="1" s="1"/>
  <c r="T16" i="1"/>
  <c r="T15" i="1" s="1"/>
  <c r="T12" i="1"/>
  <c r="T11" i="1" s="1"/>
  <c r="S11" i="1"/>
  <c r="S10" i="1" s="1"/>
  <c r="J20" i="1"/>
  <c r="K12" i="1"/>
  <c r="K11" i="1" s="1"/>
  <c r="J11" i="1"/>
  <c r="J10" i="1" s="1"/>
  <c r="AD16" i="1" l="1"/>
  <c r="AD15" i="1" s="1"/>
  <c r="K10" i="1"/>
  <c r="K20" i="1"/>
  <c r="K19" i="1" s="1"/>
  <c r="K18" i="1" s="1"/>
  <c r="J19" i="1"/>
  <c r="J18" i="1" s="1"/>
  <c r="AD12" i="1"/>
  <c r="AD11" i="1" s="1"/>
  <c r="AD10" i="1" s="1"/>
  <c r="AC11" i="1"/>
  <c r="AC10" i="1" s="1"/>
  <c r="T10" i="1"/>
  <c r="AC20" i="1"/>
  <c r="AD20" i="1" l="1"/>
  <c r="AD19" i="1" s="1"/>
  <c r="AD18" i="1" s="1"/>
  <c r="AC19" i="1"/>
  <c r="AC18" i="1" s="1"/>
</calcChain>
</file>

<file path=xl/sharedStrings.xml><?xml version="1.0" encoding="utf-8"?>
<sst xmlns="http://schemas.openxmlformats.org/spreadsheetml/2006/main" count="1667" uniqueCount="458">
  <si>
    <t>UBND THÀNH PHỐ HỒ CHÍ MINH</t>
  </si>
  <si>
    <t xml:space="preserve">CỘNG HÒA XÃ HỘI CHỦ NGHĨA VIỆT NAM </t>
  </si>
  <si>
    <t>TRƯỜNG CAO ĐẲNG LÝ TỰ TRỌNG</t>
  </si>
  <si>
    <t xml:space="preserve">Độc lập - Tự do - Hạnh phúc </t>
  </si>
  <si>
    <t>THÀNH PHỐ HỒ CHÍ MINH</t>
  </si>
  <si>
    <t>TT</t>
  </si>
  <si>
    <t xml:space="preserve">HỌ VÀ TÊN </t>
  </si>
  <si>
    <t xml:space="preserve">Ngạch </t>
  </si>
  <si>
    <t>Tăng giảm hệ số</t>
  </si>
  <si>
    <t xml:space="preserve">GHI CHÚ </t>
  </si>
  <si>
    <t xml:space="preserve">Hệ số </t>
  </si>
  <si>
    <t xml:space="preserve">Hệ số TNVK </t>
  </si>
  <si>
    <t>Hệ số PCCV</t>
  </si>
  <si>
    <t>Hệ số PCTN nhà giáo</t>
  </si>
  <si>
    <t>Hệ số PC Độc hại/trách nhiệm</t>
  </si>
  <si>
    <t>PCƯĐ</t>
  </si>
  <si>
    <t>Tổng hệ số</t>
  </si>
  <si>
    <t>Số tiền/tháng</t>
  </si>
  <si>
    <t>Hệ số PC TNNG</t>
  </si>
  <si>
    <t>Hệ số PC Độc hại</t>
  </si>
  <si>
    <t>Hệ số PC TN</t>
  </si>
  <si>
    <t>Thành tiền</t>
  </si>
  <si>
    <t>A</t>
  </si>
  <si>
    <t>B</t>
  </si>
  <si>
    <t>C</t>
  </si>
  <si>
    <t>8=1+...+7</t>
  </si>
  <si>
    <t>9=
8 x 1.390.000</t>
  </si>
  <si>
    <t>D</t>
  </si>
  <si>
    <t>I/ ĐIỀU CHỈNH TĂNG:</t>
  </si>
  <si>
    <t>A. BIÊN CHẾ</t>
  </si>
  <si>
    <t>Nguyễn Văn Dũng</t>
  </si>
  <si>
    <t>V.07.01.03</t>
  </si>
  <si>
    <t>Võ Phước Quang</t>
  </si>
  <si>
    <t>B. HỢP ĐỒNG LÀM VIỆC KHÔNG THỜI HẠN</t>
  </si>
  <si>
    <t>V07.01.03</t>
  </si>
  <si>
    <t>01.011</t>
  </si>
  <si>
    <t>II/ ĐIỀU CHỈNH GIẢM :</t>
  </si>
  <si>
    <t>LẬP BIỂU</t>
  </si>
  <si>
    <t>KẾ TOÁN TRƯỞNG</t>
  </si>
  <si>
    <t xml:space="preserve">HIỆU TRƯỞNG </t>
  </si>
  <si>
    <t>Nguyễn Thị Kim Dung</t>
  </si>
  <si>
    <t>Nguyễn Kính</t>
  </si>
  <si>
    <t>Phạm Hữu Lộc</t>
  </si>
  <si>
    <t>DANH SÁCH LƯƠNG CỦA CÁN BỘ, VIÊN CHỨC TĂNG GIẢM - THÁNG 2/2019</t>
  </si>
  <si>
    <t xml:space="preserve">Danh sách hưởng lương 2019 </t>
  </si>
  <si>
    <t>Bảng lương tháng điều chỉnh 2/2019</t>
  </si>
  <si>
    <t>Nguyễn Ngọc Hiệp</t>
  </si>
  <si>
    <t>TN 19% từ
 T2/2019</t>
  </si>
  <si>
    <t>Vương Thanh Thủy</t>
  </si>
  <si>
    <t>TN 16% từ
 T2/2019</t>
  </si>
  <si>
    <t>Hà Như Mai</t>
  </si>
  <si>
    <t>Hết thai sản từ T1/2019</t>
  </si>
  <si>
    <t>Nguyễn Hữu Xuân Vũ</t>
  </si>
  <si>
    <t>NL T2/2019</t>
  </si>
  <si>
    <t>Nghỉ hưu từ T2/2019</t>
  </si>
  <si>
    <t>Thành phố Hồ Chí Minh, ngày 01 tháng 02 năm 2019</t>
  </si>
  <si>
    <t>Hết nghỉ ốm từ T2/2019</t>
  </si>
  <si>
    <t>DANH SÁCH LƯƠNG CỦA CÁN BỘ, VIÊN CHỨC TĂNG GIẢM - THÁNG 3/2019</t>
  </si>
  <si>
    <t>Bảng lương tháng điều chỉnh 3/2019</t>
  </si>
  <si>
    <t>06.031</t>
  </si>
  <si>
    <t>TN 12% từ
 T3/2019</t>
  </si>
  <si>
    <t>Nguyễn Văn Thành</t>
  </si>
  <si>
    <t>TN 17% từ
 T3/2019</t>
  </si>
  <si>
    <t>Trần Quốc Duy</t>
  </si>
  <si>
    <t>TN 7% từ T3/2019</t>
  </si>
  <si>
    <t>Ngô Phong Cường</t>
  </si>
  <si>
    <t>TN 14% từ T3/2019</t>
  </si>
  <si>
    <t>Trần Thị Hồng Thu</t>
  </si>
  <si>
    <t>TN 13% từ T3/2019</t>
  </si>
  <si>
    <t>Lưu Thị Thúy</t>
  </si>
  <si>
    <t>Trịnh Hoàng Hiệp</t>
  </si>
  <si>
    <t>TN 12% từ T3/2019</t>
  </si>
  <si>
    <t>Nguyễn Tiến Nhân</t>
  </si>
  <si>
    <t>Phạm Thị Gia Tâm</t>
  </si>
  <si>
    <t>Nghỉ hưu từ T3/2019</t>
  </si>
  <si>
    <t>Nghỉ việc T3/2019</t>
  </si>
  <si>
    <t>Thành phố Hồ Chí Minh, ngày 01 tháng 03 năm 2019</t>
  </si>
  <si>
    <t>Phạm Thị Thu Nga</t>
  </si>
  <si>
    <t>Thai sản từ T3/2019</t>
  </si>
  <si>
    <t>Thái Thị My Sa</t>
  </si>
  <si>
    <t>01.003</t>
  </si>
  <si>
    <t>Nguyễn Thị Bích Liễu</t>
  </si>
  <si>
    <t>01.004</t>
  </si>
  <si>
    <t>Thai sản từ T2/2019</t>
  </si>
  <si>
    <t>Trần Giang Nam</t>
  </si>
  <si>
    <t>Trần Văn Đông</t>
  </si>
  <si>
    <t>Tuyển dụng từ T1/2019</t>
  </si>
  <si>
    <t>Trần Thị Thu Hà</t>
  </si>
  <si>
    <t>Chuyển ngạch từ T3/2019</t>
  </si>
  <si>
    <t>DANH SÁCH LƯƠNG CỦA CÁN BỘ, VIÊN CHỨC TĂNG GIẢM - THÁNG 4/2019</t>
  </si>
  <si>
    <t>Thành phố Hồ Chí Minh, ngày 01 tháng 04 năm 2019</t>
  </si>
  <si>
    <t>Bảng lương tháng điều chỉnh 4/2019</t>
  </si>
  <si>
    <t>Nguyễn Thị Kim Anh</t>
  </si>
  <si>
    <t>NL T1/2019</t>
  </si>
  <si>
    <t>Trần Kim Thu Liễu</t>
  </si>
  <si>
    <t>Lê Xuân Thiện</t>
  </si>
  <si>
    <t>Hồ Văn Sĩ</t>
  </si>
  <si>
    <t>Võ Đắc Thịnh</t>
  </si>
  <si>
    <t>Nguyễn Hồng Đức</t>
  </si>
  <si>
    <t>VK 7% từ T1/2019</t>
  </si>
  <si>
    <t>Phan Anh Tuấn Kiệt</t>
  </si>
  <si>
    <t>NL T9/2018</t>
  </si>
  <si>
    <t>15.112</t>
  </si>
  <si>
    <t>NL T10/2018</t>
  </si>
  <si>
    <t>TN 32% từ T12/2018</t>
  </si>
  <si>
    <t>Nguyễn Thành Nam</t>
  </si>
  <si>
    <t>NL T11/2018</t>
  </si>
  <si>
    <t>Nguyễn Cao Phong</t>
  </si>
  <si>
    <t>Lê Hùng Thanh</t>
  </si>
  <si>
    <t>01.010</t>
  </si>
  <si>
    <t>VK 16% từ T1/2019</t>
  </si>
  <si>
    <t>Nguyễn Hữu Thiện</t>
  </si>
  <si>
    <t>TN 6% từ T11/2018</t>
  </si>
  <si>
    <t>Giáp Văn Thịnh</t>
  </si>
  <si>
    <t>V.05.02.08</t>
  </si>
  <si>
    <t>Lê Phi Trường</t>
  </si>
  <si>
    <t>TN 6% từ T5/2018</t>
  </si>
  <si>
    <t>Nguyễn Anh Tuấn</t>
  </si>
  <si>
    <t>Đỗ Tuấn Việt</t>
  </si>
  <si>
    <t>Mai Nguyễn Hoàng Yến</t>
  </si>
  <si>
    <t>Nguyễn Trọng Thạch</t>
  </si>
  <si>
    <t>Nguyễn Khắc Huy</t>
  </si>
  <si>
    <t>Trần Thị Minh Thoa</t>
  </si>
  <si>
    <t>Tuyển dụng T4/2019</t>
  </si>
  <si>
    <t>06.032</t>
  </si>
  <si>
    <t>Đi làm từ T4/2019</t>
  </si>
  <si>
    <t>Lâm Thị Phương Thùy</t>
  </si>
  <si>
    <t>TN 8% từ T4/2019</t>
  </si>
  <si>
    <t>DANH SÁCH LƯƠNG CỦA CÁN BỘ, VIÊN CHỨC TĂNG GIẢM - THÁNG 5/2019</t>
  </si>
  <si>
    <t>Bảng lương tháng điều chỉnh 5/2019</t>
  </si>
  <si>
    <t>Nguyễn Thị Vân</t>
  </si>
  <si>
    <t>V01.02.02</t>
  </si>
  <si>
    <t>Thai sản T4/2019</t>
  </si>
  <si>
    <t>Lê Hửu Nhân</t>
  </si>
  <si>
    <t>Nghỉ việc từ T5/2019</t>
  </si>
  <si>
    <t>Nguyễn Thùy Dương</t>
  </si>
  <si>
    <t>15.113</t>
  </si>
  <si>
    <t>Chuyển sang làm nhân viên từ 23/4/2019</t>
  </si>
  <si>
    <t>Nguyễn Văn Minh</t>
  </si>
  <si>
    <t>TN 12% từ T5/2019</t>
  </si>
  <si>
    <t>TN 7% từ T5/2019</t>
  </si>
  <si>
    <t>Dương Ngọc Vọng</t>
  </si>
  <si>
    <t>Võ Minh Quang</t>
  </si>
  <si>
    <t>TN 25% từ
 T5/2019</t>
  </si>
  <si>
    <t>Nguyễn Văn Sơn</t>
  </si>
  <si>
    <t>TN 28% từ
 T5/2019</t>
  </si>
  <si>
    <t>Trần Đình Khoa</t>
  </si>
  <si>
    <t>TN 8% từ T5/2019</t>
  </si>
  <si>
    <t>Kiều Trung Tín</t>
  </si>
  <si>
    <t>TN 9% từ T5/2019</t>
  </si>
  <si>
    <t>Trần Công Tiến</t>
  </si>
  <si>
    <t>TN 21% từ
 T5/2019</t>
  </si>
  <si>
    <t>Huỳnh Ngọc Mai</t>
  </si>
  <si>
    <t>Châu Văn Bảo</t>
  </si>
  <si>
    <t>Bổ nhiệm Phó hiệu trưởng từ 15/4/2019</t>
  </si>
  <si>
    <t>Nguyễn Thị Thu Hà</t>
  </si>
  <si>
    <t>Hết nghỉ không lương từ T4/2019</t>
  </si>
  <si>
    <t>Thành phố Hồ Chí Minh, ngày 02 tháng 05 năm 2019</t>
  </si>
  <si>
    <t>Thay đổi chức danh từ T4/2019</t>
  </si>
  <si>
    <t>DANH SÁCH LƯƠNG CỦA CÁN BỘ, VIÊN CHỨC TĂNG GIẢM - THÁNG 6/2019</t>
  </si>
  <si>
    <t>Hồ Ngọc Chi</t>
  </si>
  <si>
    <t>Võ Thị Anh Đào</t>
  </si>
  <si>
    <t>Vk 8% từ T5/2019</t>
  </si>
  <si>
    <t>Vương Hội Khánh</t>
  </si>
  <si>
    <t>NL T4/2019</t>
  </si>
  <si>
    <t>NL T3/2019</t>
  </si>
  <si>
    <t>Phan Thị Ngọc Phượng</t>
  </si>
  <si>
    <t>Vk 6% từ T5/2019</t>
  </si>
  <si>
    <t>Vũ Như Quỳnh</t>
  </si>
  <si>
    <t>Vk 7% từ T5/2019</t>
  </si>
  <si>
    <t>Trần Thị Diễm Thúy</t>
  </si>
  <si>
    <t>Đỗ Văn Trong</t>
  </si>
  <si>
    <t>Phạm Quang Vũ</t>
  </si>
  <si>
    <t>Pccv từ T5/2019</t>
  </si>
  <si>
    <t>Trần Vĩnh Xuyên</t>
  </si>
  <si>
    <t>TN 6% từ T6/2019</t>
  </si>
  <si>
    <t>Nguyễn Văn Hậu</t>
  </si>
  <si>
    <t>TN 9% từ T6/2019</t>
  </si>
  <si>
    <t>Nguyễn Thị Nhuận</t>
  </si>
  <si>
    <t>TN 14% từ T6/2019</t>
  </si>
  <si>
    <t>Lê Nguyễn Mỹ Trâm</t>
  </si>
  <si>
    <t>TN 10% từ T6/2019</t>
  </si>
  <si>
    <t>Nguyễn Thị Khánh Thư</t>
  </si>
  <si>
    <t>TN 12% từ T6/2019</t>
  </si>
  <si>
    <t>Nguyễn Lê Hồng Điệp</t>
  </si>
  <si>
    <t>01.009</t>
  </si>
  <si>
    <t>Chấm dứt HĐLĐ từ T6/2019</t>
  </si>
  <si>
    <t>Thành phố Hồ Chí Minh, ngày 01 tháng 06 năm 2019</t>
  </si>
  <si>
    <t>Trần Nam Anh</t>
  </si>
  <si>
    <t>Bổ nhiệm T4/2019</t>
  </si>
  <si>
    <t>Nguyễn Thanh Giang</t>
  </si>
  <si>
    <t>Cao Văn Tuấn</t>
  </si>
  <si>
    <t>Bảng lương tháng điều chỉnh 6/2019</t>
  </si>
  <si>
    <t>DANH SÁCH LƯƠNG CỦA CÁN BỘ, VIÊN CHỨC TĂNG GIẢM - THÁNG 7/2019</t>
  </si>
  <si>
    <t>Nl T4/2019</t>
  </si>
  <si>
    <t>Bảng lương tháng điều chỉnh 7/2019</t>
  </si>
  <si>
    <t>Nghỉ hưu T7/2019</t>
  </si>
  <si>
    <t>Nguyễn Thùy Linh</t>
  </si>
  <si>
    <t>Phạm Nguyễn Đức Trung</t>
  </si>
  <si>
    <t>Thai sản từ T6/2019</t>
  </si>
  <si>
    <t>Chấm dứt HĐ làm việc từ T7/2019</t>
  </si>
  <si>
    <t>Phó trưởng khoa từ T6/2019</t>
  </si>
  <si>
    <t>Trưởng trung tâm từ T6/2019</t>
  </si>
  <si>
    <t>Trần Văn Cu Anh</t>
  </si>
  <si>
    <t>Vk 12% từ T1/2019</t>
  </si>
  <si>
    <t>Lê Văn Bình</t>
  </si>
  <si>
    <t>TN 5% từ T11/2018</t>
  </si>
  <si>
    <t>Nguyễn Thị Hiền</t>
  </si>
  <si>
    <t>TN 5% từ T9/2018</t>
  </si>
  <si>
    <t>Hồ Văn Hóa</t>
  </si>
  <si>
    <t>Nguyễn Thanh Hùng</t>
  </si>
  <si>
    <t>TN 5% từ T10/2018</t>
  </si>
  <si>
    <t>Nguyễn Ngọc Thọ</t>
  </si>
  <si>
    <t>Trần Minh Thông</t>
  </si>
  <si>
    <t>Bùi Anh Tuấn</t>
  </si>
  <si>
    <t>Nguyễn Ngọc Tuyên</t>
  </si>
  <si>
    <t>Nguyễn Thị Huyền Nga</t>
  </si>
  <si>
    <t>NL T6/2019</t>
  </si>
  <si>
    <t>Lương Xuân Thịnh</t>
  </si>
  <si>
    <t>V05.02.07</t>
  </si>
  <si>
    <t>Bí thư đoàn thanh niên từ T7/2019</t>
  </si>
  <si>
    <t>Thôi bí thư đoàn TN T7/2019</t>
  </si>
  <si>
    <t>Nguyễn Thị Hải Hà</t>
  </si>
  <si>
    <t>Hết hộ sản từ T6/2019</t>
  </si>
  <si>
    <t>Đặng Thái Sơn</t>
  </si>
  <si>
    <t>Hết thời gian bảo lưu hệ số pc chức vụ từ T7/2019</t>
  </si>
  <si>
    <t>9=
8 x 1.490.000</t>
  </si>
  <si>
    <t>Thành phố Hồ Chí Minh, ngày 01 tháng 7 năm 2019</t>
  </si>
  <si>
    <t>DANH SÁCH LƯƠNG CỦA CÁN BỘ, VIÊN CHỨC TĂNG GIẢM - THÁNG 8/2019</t>
  </si>
  <si>
    <t>Bảng lương tháng điều chỉnh 8/2019</t>
  </si>
  <si>
    <t>Nguyễn Thanh Vĩnh Phúc</t>
  </si>
  <si>
    <t>TN 13% từ T8/2019</t>
  </si>
  <si>
    <t>Huỳnh Thị Minh Ly</t>
  </si>
  <si>
    <t>NL T7/2019</t>
  </si>
  <si>
    <t>Bùi Thị Dương</t>
  </si>
  <si>
    <t>Nguyễn Phú Tân</t>
  </si>
  <si>
    <t>TN 17% từ T8/2019</t>
  </si>
  <si>
    <t>Trần Thị Hương</t>
  </si>
  <si>
    <t>TN 9% từ T8/2019</t>
  </si>
  <si>
    <t>Trần Văn Lý</t>
  </si>
  <si>
    <t>VK 12% từ T7/2019</t>
  </si>
  <si>
    <t>Phạm Thị Thu Hiền</t>
  </si>
  <si>
    <t>Thai sản từ T7/2019</t>
  </si>
  <si>
    <t>Thành phố Hồ Chí Minh, ngày 01 tháng 8 năm 2019</t>
  </si>
  <si>
    <t>Phạm Hữu Tấn</t>
  </si>
  <si>
    <t>HĐLĐ từ T6/19</t>
  </si>
  <si>
    <t>DANH SÁCH LƯƠNG CỦA CÁN BỘ, VIÊN CHỨC TĂNG GIẢM - THÁNG 9/2019</t>
  </si>
  <si>
    <t>Nguyễn Thanh Lâm</t>
  </si>
  <si>
    <t>TN 17% từ T9/2019</t>
  </si>
  <si>
    <t>TN 11% từ T9/2019</t>
  </si>
  <si>
    <t>Lê Quang Liêm</t>
  </si>
  <si>
    <t>TN 19% từ T9/2019</t>
  </si>
  <si>
    <t>Lâm Viết Dũng</t>
  </si>
  <si>
    <t>TN 18% từ T9/2019</t>
  </si>
  <si>
    <t>Nguyễn Chí Nhân</t>
  </si>
  <si>
    <t>TN 15% từ T9/2019</t>
  </si>
  <si>
    <t>Phan Đức Long</t>
  </si>
  <si>
    <t>Võ Cường</t>
  </si>
  <si>
    <t>TN 16% từ T9/2019</t>
  </si>
  <si>
    <t>Nguyễn Văn Yên</t>
  </si>
  <si>
    <t>Nguyễn Anh Tăng</t>
  </si>
  <si>
    <t>Ngô Hoàng Anh</t>
  </si>
  <si>
    <t>Tăng Cẩm Huê</t>
  </si>
  <si>
    <t>Nguyễn Trần Thanh Nhàn</t>
  </si>
  <si>
    <t>Trần Hiếu Trinh</t>
  </si>
  <si>
    <t>Trần Trung Hiếu</t>
  </si>
  <si>
    <t>Lê Tiến Đạt</t>
  </si>
  <si>
    <t>Nguyễn Minh Đức Cường</t>
  </si>
  <si>
    <t>TN 8% từ T9/2019</t>
  </si>
  <si>
    <t>Đỗ Huỳnh Thanh Phong</t>
  </si>
  <si>
    <t>Đặng Đức Minh</t>
  </si>
  <si>
    <t>Nguyễn Thị Tố Nga</t>
  </si>
  <si>
    <t>Nguyễn Thị Ngọc Hiền</t>
  </si>
  <si>
    <t>Lê Thế Huân</t>
  </si>
  <si>
    <t>Mạnh Lê Hoàn</t>
  </si>
  <si>
    <t>Quách Minh Thử</t>
  </si>
  <si>
    <t>TN 12% từ T9/2019</t>
  </si>
  <si>
    <t>Vũ Hạnh Chiêu</t>
  </si>
  <si>
    <t>TN 13% từ T9/2019</t>
  </si>
  <si>
    <t>Nguyễn Khoa</t>
  </si>
  <si>
    <t>Trần Việt Khánh</t>
  </si>
  <si>
    <t>TN 10% từ T9/2019</t>
  </si>
  <si>
    <t>Vũ Thị Thái Linh</t>
  </si>
  <si>
    <t>Nguyễn Văn Đôn</t>
  </si>
  <si>
    <t>TN 9% từ T9/2019</t>
  </si>
  <si>
    <t>Nguyễn Nguyên Hoàng
Ngọc Quyên</t>
  </si>
  <si>
    <t>TN 6% từ T9/2019</t>
  </si>
  <si>
    <t>Nguyễn Thị Thủy</t>
  </si>
  <si>
    <t>Nguyễn Sanh Cường</t>
  </si>
  <si>
    <t>Lê Quý Hưng Quốc</t>
  </si>
  <si>
    <t>Bùi Văn Dũng</t>
  </si>
  <si>
    <t>Lê Hồng Thái</t>
  </si>
  <si>
    <t>Đỗ Thị Hải Yến</t>
  </si>
  <si>
    <t>Nguyễn Thị Thu Hồng</t>
  </si>
  <si>
    <t>Nguyễn Văn Danh</t>
  </si>
  <si>
    <t>Trần Minh Tuấn</t>
  </si>
  <si>
    <t>Nguyễn Hữu Mạnh</t>
  </si>
  <si>
    <t>Nguyễn Thành Đức</t>
  </si>
  <si>
    <t>Nguyễn Minh Thái</t>
  </si>
  <si>
    <t>Nguyễn Thái Bình</t>
  </si>
  <si>
    <t>Triệu Phú Nguyên</t>
  </si>
  <si>
    <t>TN 20% từ T9/2019</t>
  </si>
  <si>
    <t>Nguyễn Thanh Tú</t>
  </si>
  <si>
    <t>Cao Thị Nga</t>
  </si>
  <si>
    <t>TN 21% từ T9/2019</t>
  </si>
  <si>
    <t>Nguyễn Thị Cẩm Thạch</t>
  </si>
  <si>
    <t>Võ Thị Hồng Lan</t>
  </si>
  <si>
    <t>Nguyễn Văn Đông</t>
  </si>
  <si>
    <t>Nguyễn Thị Thu Tâm</t>
  </si>
  <si>
    <t>Nguyễn Thị Bảo Trân</t>
  </si>
  <si>
    <t>Lê Thái Hùng</t>
  </si>
  <si>
    <t>TN 22% từ T9/2019</t>
  </si>
  <si>
    <t>Nguyễn Phương Hà</t>
  </si>
  <si>
    <t>Trịnh Khắc Vũ</t>
  </si>
  <si>
    <t>Nguyễn Thị Thanh Tú</t>
  </si>
  <si>
    <t>Trần Thị Ánh Tuyết</t>
  </si>
  <si>
    <t>Giang Phi Hùng</t>
  </si>
  <si>
    <t>Nguyễn Tam Cương</t>
  </si>
  <si>
    <t>Vũ Quang Khải</t>
  </si>
  <si>
    <t>Trương Thị Phương Hồng</t>
  </si>
  <si>
    <t>Phan Thị Xuân Trang</t>
  </si>
  <si>
    <t>Chung Trần Thế Vinh</t>
  </si>
  <si>
    <t>TN 14% từ T9/2019</t>
  </si>
  <si>
    <t>Trần Đình Khải</t>
  </si>
  <si>
    <t>Vũ Đức Pháp</t>
  </si>
  <si>
    <t>Nguyễn Duy Hải</t>
  </si>
  <si>
    <t>Dương Minh Chung</t>
  </si>
  <si>
    <t>Nguyễn Thanh Vũ</t>
  </si>
  <si>
    <t>Lư Thị Yến Vũ</t>
  </si>
  <si>
    <t>Nguyễn Ngọc Quỳnh</t>
  </si>
  <si>
    <t>Nguyễn Tiến Dũng</t>
  </si>
  <si>
    <t>Nguyễn Thành Long</t>
  </si>
  <si>
    <t>Đặng Thị Nhật Minh</t>
  </si>
  <si>
    <t>TN 23% từ T9/2019</t>
  </si>
  <si>
    <t>Nguyễn Thị Dinh</t>
  </si>
  <si>
    <t>Đỗ Thị Ngát</t>
  </si>
  <si>
    <t>Lê Thị Hồng Vân</t>
  </si>
  <si>
    <t>Đinh Thị Huyên</t>
  </si>
  <si>
    <t>Phan Thị Thùy Trang</t>
  </si>
  <si>
    <t>Phạm Thị Vinh</t>
  </si>
  <si>
    <t>Cao Thị Hồng Thắm</t>
  </si>
  <si>
    <t>Lê Thị Mai Hường</t>
  </si>
  <si>
    <t>Đỗ Thị Thơm</t>
  </si>
  <si>
    <t>Bùi Thành Dũng</t>
  </si>
  <si>
    <t>Đặng Thế Huân</t>
  </si>
  <si>
    <t>Võ Anh Hào</t>
  </si>
  <si>
    <t>Phan Văn Hòa</t>
  </si>
  <si>
    <t>Đỗ Trọng Quý</t>
  </si>
  <si>
    <t>Lê Xuân Thủy</t>
  </si>
  <si>
    <t>Nguyễn Bạch Cẩm Dung</t>
  </si>
  <si>
    <t>Huỳnh Thị Mai</t>
  </si>
  <si>
    <t>TN 7% từ T9/2019</t>
  </si>
  <si>
    <t>Võ Anh Trang</t>
  </si>
  <si>
    <t>Bảng lương tháng điều chỉnh 9/2019</t>
  </si>
  <si>
    <t>Nghỉ việc T9/2019</t>
  </si>
  <si>
    <t>Thành phố Hồ Chí Minh, ngày 03 tháng 9 năm 2019</t>
  </si>
  <si>
    <t>Hết thai sản từ T9/2019</t>
  </si>
  <si>
    <t>DANH SÁCH LƯƠNG CỦA CÁN BỘ, VIÊN CHỨC TĂNG GIẢM - THÁNG 10/2019</t>
  </si>
  <si>
    <t>Đinh Văn Đệ</t>
  </si>
  <si>
    <t>TN 18% từ T10/2019</t>
  </si>
  <si>
    <t>Nguyễn Minh Đức</t>
  </si>
  <si>
    <t>TN 20% từ T10/2019</t>
  </si>
  <si>
    <t>TN 30% từ T10/2019</t>
  </si>
  <si>
    <t>TN 28% từ T10/2019</t>
  </si>
  <si>
    <t>Nguyễn Vũ Xuân Thì</t>
  </si>
  <si>
    <t>Hà Phước Tuấn</t>
  </si>
  <si>
    <t>TN 6% từ T10/2019</t>
  </si>
  <si>
    <t>Phan Văn Thành</t>
  </si>
  <si>
    <t>Trương Việt Khánh Trang</t>
  </si>
  <si>
    <t>TN 21% từ T10/2019</t>
  </si>
  <si>
    <t>Bùi Thị Ngọc Sương</t>
  </si>
  <si>
    <t>Nguyễn Trọng Nghĩa</t>
  </si>
  <si>
    <t>TN 13% từ T10/2019</t>
  </si>
  <si>
    <t>Phạm Minh Nghĩa</t>
  </si>
  <si>
    <t>TN 31% từ T10/2019</t>
  </si>
  <si>
    <t>Nguyễn Mạnh Phương</t>
  </si>
  <si>
    <t>TN 12% từ T10/2019</t>
  </si>
  <si>
    <t>Nguyễn Vân Giang</t>
  </si>
  <si>
    <t>TN 29% từ T10/2019</t>
  </si>
  <si>
    <t>Mai Chiếm Tuấn</t>
  </si>
  <si>
    <t>TN 10% từ T10/2019</t>
  </si>
  <si>
    <t>Đặng Ngọc Đoàn</t>
  </si>
  <si>
    <t>Trưởng phòng từ T10/2019</t>
  </si>
  <si>
    <t>Thành phố Hồ Chí Minh, ngày 01 tháng 10 năm 2019</t>
  </si>
  <si>
    <t>NL T9/2019</t>
  </si>
  <si>
    <t>Vk 7% từ T9/2019</t>
  </si>
  <si>
    <t>Ngô Thanh Điền</t>
  </si>
  <si>
    <t>Đặng Thị Kiến Trúc</t>
  </si>
  <si>
    <t>Phạm Thị Lê Chi</t>
  </si>
  <si>
    <t>Nguyễn Tất Thắng</t>
  </si>
  <si>
    <t>Hoàng Phúc Bảo</t>
  </si>
  <si>
    <t>Võ Thị Kim Thư</t>
  </si>
  <si>
    <t>Trần Nguyên Bảo Trân</t>
  </si>
  <si>
    <t>Dương Thị Hồng</t>
  </si>
  <si>
    <t>Trần Thanh Trúc</t>
  </si>
  <si>
    <t>Đào Anh Tuấn</t>
  </si>
  <si>
    <t>Bùi Ánh Tuyết</t>
  </si>
  <si>
    <t>Hoàng Thị Trang</t>
  </si>
  <si>
    <t>Lê Thị Thu Thảo</t>
  </si>
  <si>
    <t>Hà Nhật Thanh</t>
  </si>
  <si>
    <t>VK 6% từ T9/2019</t>
  </si>
  <si>
    <t>Hà Quốc Bảo</t>
  </si>
  <si>
    <t>TN 15% từ T11/2019</t>
  </si>
  <si>
    <t>Nguyễn Đức Thắng</t>
  </si>
  <si>
    <t>TN 30% từ T11/2019</t>
  </si>
  <si>
    <t>Đỗ Thị Phương Khanh</t>
  </si>
  <si>
    <t>TN 20% từ T11/2019</t>
  </si>
  <si>
    <t>TN 6% từ T11/2019</t>
  </si>
  <si>
    <t>TN 7% từ T11/2019</t>
  </si>
  <si>
    <t>Hết thai sản từ T10/2019</t>
  </si>
  <si>
    <t>Thành phố Hồ Chí Minh, ngày 01 tháng 11 năm 2019</t>
  </si>
  <si>
    <t>DANH SÁCH LƯƠNG CỦA CÁN BỘ, VIÊN CHỨC TĂNG GIẢM - THÁNG 11/2019</t>
  </si>
  <si>
    <t>Bảng lương tháng điều chỉnh 11/2019</t>
  </si>
  <si>
    <t>Chấm dứt hợp đồng từ T11/2019</t>
  </si>
  <si>
    <t>NL T9/2019
TN 16% từ T11/2019</t>
  </si>
  <si>
    <t>Bảng lương tháng điều chỉnh 12/2019</t>
  </si>
  <si>
    <t>Vk 10% từ T8/2019</t>
  </si>
  <si>
    <t>Vk 33% từ T10/2019</t>
  </si>
  <si>
    <t>Nguyễn Thanh Sơn</t>
  </si>
  <si>
    <t>Vk 16% từ T10/2019</t>
  </si>
  <si>
    <t>Nguyễn Văn  Tấn</t>
  </si>
  <si>
    <t>Vk 11% từ T10/2019</t>
  </si>
  <si>
    <t>Vk 14% từ T10/2019</t>
  </si>
  <si>
    <t>Vk 12% từ T10/2019</t>
  </si>
  <si>
    <t>Nguyễn Ngọc Trang</t>
  </si>
  <si>
    <t>NL T10/2019</t>
  </si>
  <si>
    <t>Vk 8% từ T10/2019</t>
  </si>
  <si>
    <t>Vk 13% từ T10/2019</t>
  </si>
  <si>
    <t>Tạ Minh Cường</t>
  </si>
  <si>
    <t>TN 25% từ T12/2019</t>
  </si>
  <si>
    <t>Trương Việt Khánh 
Trang</t>
  </si>
  <si>
    <t>Vk 6% từ T10/2019</t>
  </si>
  <si>
    <t>Phạm Thị Thanh Thúy</t>
  </si>
  <si>
    <t>TN 18% từ T12/2019</t>
  </si>
  <si>
    <t>Trương Thị Hồng</t>
  </si>
  <si>
    <t>Tuyển dụng T11/2019</t>
  </si>
  <si>
    <t>Bùi Đức Phước</t>
  </si>
  <si>
    <t>Lý Văn Trung</t>
  </si>
  <si>
    <t>Nguyễn Thị Minh Thùy</t>
  </si>
  <si>
    <t>Võ Tấn Kiệt</t>
  </si>
  <si>
    <t>TN 15% từ T5/2019</t>
  </si>
  <si>
    <t>Huỳnh Quốc Dũng</t>
  </si>
  <si>
    <t>TN 5% từ T7/2019</t>
  </si>
  <si>
    <t>TN 5% từ T9/2019</t>
  </si>
  <si>
    <t>Dương Đức Kiên</t>
  </si>
  <si>
    <t>Trần Văn Lượng</t>
  </si>
  <si>
    <t>Đinh Đồng Hiệp</t>
  </si>
  <si>
    <t>TN 7% từ T12/2019</t>
  </si>
  <si>
    <t>TN 8% từ T2/2019</t>
  </si>
  <si>
    <t>NL T11/2019</t>
  </si>
  <si>
    <t>Phạm Quỳnh Như</t>
  </si>
  <si>
    <t>TN 9% từ T12/2019</t>
  </si>
  <si>
    <t>Lữ Xuân Trang</t>
  </si>
  <si>
    <t>TN 14% từ T12/2019</t>
  </si>
  <si>
    <t>Huỳnh Thị Cẩm Hoa</t>
  </si>
  <si>
    <t>Lưu Hoàng Hải Yến</t>
  </si>
  <si>
    <t>Lương Thị Thắm</t>
  </si>
  <si>
    <t>01.006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</si>
</sst>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00"/>
    <numFmt numFmtId="165" formatCode="0.0000"/>
    <numFmt numFmtId="166" formatCode="_(* #,##0_);_(* \(#,##0\);_(* &quot;-&quot;??_);_(@_)"/>
    <numFmt numFmtId="167" formatCode="_(* #,##0.000_);_(* \(#,##0.000\);_(* &quot;-&quot;??_);_(@_)"/>
    <numFmt numFmtId="168" formatCode="_(* #,##0.0000_);_(* \(#,##0.0000\);_(* &quot;-&quot;??_);_(@_)"/>
    <numFmt numFmtId="169" formatCode="_(* #,##0.0000_);_(* \(#,##0.0000\);_(* &quot;-&quot;????_);_(@_)"/>
    <numFmt numFmtId="170" formatCode="_(* #,##0_);_(* \(#,##0\);_(* &quot;-&quot;??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</font>
    <font>
      <sz val="10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i/>
      <sz val="12"/>
      <name val="Times New Roman"/>
      <family val="1"/>
    </font>
    <font>
      <sz val="12"/>
      <color indexed="9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0" fontId="3" fillId="0" borderId="0" applyBorder="0"/>
    <xf numFmtId="9" fontId="4" fillId="0" borderId="0" applyFont="0" applyFill="0" applyBorder="0" applyAlignment="0" applyProtection="0"/>
  </cellStyleXfs>
  <cellXfs count="306">
    <xf numFmtId="0" fontId="0" fillId="0" borderId="0" xfId="0"/>
    <xf numFmtId="0" fontId="0" fillId="0" borderId="0" xfId="0"/>
    <xf numFmtId="0" fontId="2" fillId="0" borderId="0" xfId="5"/>
    <xf numFmtId="0" fontId="5" fillId="0" borderId="0" xfId="5" applyFont="1" applyFill="1"/>
    <xf numFmtId="0" fontId="4" fillId="0" borderId="0" xfId="5" applyFont="1" applyFill="1"/>
    <xf numFmtId="0" fontId="5" fillId="0" borderId="0" xfId="5" applyFont="1" applyFill="1" applyAlignment="1">
      <alignment horizontal="center"/>
    </xf>
    <xf numFmtId="0" fontId="6" fillId="0" borderId="0" xfId="5" applyFont="1" applyFill="1" applyAlignment="1">
      <alignment horizontal="center" vertical="center" wrapText="1"/>
    </xf>
    <xf numFmtId="0" fontId="4" fillId="0" borderId="0" xfId="5" applyFont="1" applyFill="1" applyBorder="1" applyAlignment="1">
      <alignment horizontal="left" vertical="center"/>
    </xf>
    <xf numFmtId="3" fontId="4" fillId="0" borderId="0" xfId="5" quotePrefix="1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Border="1" applyAlignment="1">
      <alignment horizontal="center" vertical="center" wrapText="1"/>
    </xf>
    <xf numFmtId="9" fontId="4" fillId="0" borderId="0" xfId="5" quotePrefix="1" applyNumberFormat="1" applyFont="1" applyFill="1" applyBorder="1" applyAlignment="1">
      <alignment horizontal="center" vertical="center" wrapText="1"/>
    </xf>
    <xf numFmtId="0" fontId="4" fillId="0" borderId="0" xfId="5" quotePrefix="1" applyFont="1" applyFill="1" applyBorder="1" applyAlignment="1">
      <alignment horizontal="center" vertical="center" wrapText="1"/>
    </xf>
    <xf numFmtId="0" fontId="4" fillId="0" borderId="0" xfId="5" quotePrefix="1" applyNumberFormat="1" applyFont="1" applyFill="1" applyBorder="1" applyAlignment="1">
      <alignment horizontal="left" vertical="center"/>
    </xf>
    <xf numFmtId="0" fontId="4" fillId="0" borderId="0" xfId="7" applyFont="1" applyFill="1" applyBorder="1" applyAlignment="1">
      <alignment horizontal="left" vertical="center"/>
    </xf>
    <xf numFmtId="9" fontId="4" fillId="0" borderId="0" xfId="5" applyNumberFormat="1" applyFont="1" applyFill="1" applyBorder="1" applyAlignment="1">
      <alignment horizontal="center" vertical="center"/>
    </xf>
    <xf numFmtId="0" fontId="4" fillId="0" borderId="0" xfId="5" applyFont="1" applyFill="1" applyAlignment="1">
      <alignment horizontal="left" vertical="center"/>
    </xf>
    <xf numFmtId="0" fontId="9" fillId="0" borderId="1" xfId="5" applyFont="1" applyFill="1" applyBorder="1" applyAlignment="1">
      <alignment horizontal="center" vertical="center" wrapText="1"/>
    </xf>
    <xf numFmtId="9" fontId="9" fillId="0" borderId="1" xfId="5" applyNumberFormat="1" applyFont="1" applyFill="1" applyBorder="1" applyAlignment="1">
      <alignment horizontal="center" vertical="center" wrapText="1"/>
    </xf>
    <xf numFmtId="0" fontId="13" fillId="0" borderId="0" xfId="5" applyFont="1" applyFill="1" applyBorder="1" applyAlignment="1"/>
    <xf numFmtId="165" fontId="9" fillId="0" borderId="1" xfId="5" applyNumberFormat="1" applyFont="1" applyFill="1" applyBorder="1" applyAlignment="1">
      <alignment horizontal="center" vertical="center" wrapText="1"/>
    </xf>
    <xf numFmtId="167" fontId="9" fillId="0" borderId="1" xfId="3" applyNumberFormat="1" applyFont="1" applyFill="1" applyBorder="1" applyAlignment="1">
      <alignment horizontal="center" vertical="center" wrapText="1"/>
    </xf>
    <xf numFmtId="3" fontId="9" fillId="0" borderId="1" xfId="3" applyNumberFormat="1" applyFont="1" applyFill="1" applyBorder="1" applyAlignment="1">
      <alignment horizontal="center" vertical="center" wrapText="1"/>
    </xf>
    <xf numFmtId="165" fontId="4" fillId="0" borderId="0" xfId="5" quotePrefix="1" applyNumberFormat="1" applyFont="1" applyFill="1" applyBorder="1" applyAlignment="1">
      <alignment horizontal="center" vertical="center" wrapText="1"/>
    </xf>
    <xf numFmtId="167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6" fillId="0" borderId="0" xfId="3" applyNumberFormat="1" applyFont="1" applyFill="1" applyAlignment="1">
      <alignment horizontal="right"/>
    </xf>
    <xf numFmtId="0" fontId="7" fillId="0" borderId="1" xfId="5" applyFont="1" applyFill="1" applyBorder="1" applyAlignment="1">
      <alignment horizontal="center" vertical="center" wrapText="1"/>
    </xf>
    <xf numFmtId="3" fontId="7" fillId="0" borderId="1" xfId="3" applyNumberFormat="1" applyFont="1" applyFill="1" applyBorder="1" applyAlignment="1">
      <alignment horizontal="center" vertical="center" wrapText="1"/>
    </xf>
    <xf numFmtId="0" fontId="10" fillId="0" borderId="1" xfId="5" applyFont="1" applyFill="1" applyBorder="1" applyAlignment="1">
      <alignment horizontal="center" vertical="center" wrapText="1"/>
    </xf>
    <xf numFmtId="9" fontId="10" fillId="0" borderId="1" xfId="5" applyNumberFormat="1" applyFont="1" applyFill="1" applyBorder="1" applyAlignment="1">
      <alignment horizontal="center" vertical="center" wrapText="1"/>
    </xf>
    <xf numFmtId="165" fontId="10" fillId="0" borderId="1" xfId="5" applyNumberFormat="1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left" vertical="center"/>
    </xf>
    <xf numFmtId="0" fontId="6" fillId="2" borderId="0" xfId="5" applyFont="1" applyFill="1" applyAlignment="1">
      <alignment horizontal="center" vertical="center" wrapText="1"/>
    </xf>
    <xf numFmtId="0" fontId="5" fillId="2" borderId="1" xfId="5" applyFont="1" applyFill="1" applyBorder="1" applyAlignment="1">
      <alignment horizontal="left" vertical="center"/>
    </xf>
    <xf numFmtId="2" fontId="4" fillId="0" borderId="2" xfId="5" applyNumberFormat="1" applyFont="1" applyFill="1" applyBorder="1" applyAlignment="1">
      <alignment horizontal="center" vertical="center" wrapText="1"/>
    </xf>
    <xf numFmtId="167" fontId="8" fillId="0" borderId="1" xfId="3" applyNumberFormat="1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9" fontId="8" fillId="0" borderId="1" xfId="5" applyNumberFormat="1" applyFont="1" applyFill="1" applyBorder="1" applyAlignment="1">
      <alignment horizontal="center" vertical="center" wrapText="1"/>
    </xf>
    <xf numFmtId="165" fontId="8" fillId="0" borderId="1" xfId="5" applyNumberFormat="1" applyFont="1" applyFill="1" applyBorder="1" applyAlignment="1">
      <alignment horizontal="center" vertical="center" wrapText="1"/>
    </xf>
    <xf numFmtId="9" fontId="4" fillId="2" borderId="0" xfId="5" applyNumberFormat="1" applyFont="1" applyFill="1" applyAlignment="1">
      <alignment horizontal="center"/>
    </xf>
    <xf numFmtId="0" fontId="4" fillId="2" borderId="0" xfId="5" applyFont="1" applyFill="1" applyBorder="1" applyAlignment="1">
      <alignment horizontal="left" vertical="center"/>
    </xf>
    <xf numFmtId="0" fontId="4" fillId="2" borderId="0" xfId="5" quotePrefix="1" applyFont="1" applyFill="1" applyBorder="1" applyAlignment="1">
      <alignment horizontal="center" vertical="center" wrapText="1"/>
    </xf>
    <xf numFmtId="0" fontId="4" fillId="2" borderId="0" xfId="5" applyFont="1" applyFill="1" applyAlignment="1">
      <alignment horizontal="left" vertical="center"/>
    </xf>
    <xf numFmtId="0" fontId="5" fillId="2" borderId="0" xfId="5" applyFont="1" applyFill="1" applyAlignment="1">
      <alignment horizontal="center"/>
    </xf>
    <xf numFmtId="0" fontId="5" fillId="2" borderId="0" xfId="5" applyFont="1" applyFill="1" applyAlignment="1"/>
    <xf numFmtId="9" fontId="5" fillId="2" borderId="0" xfId="5" applyNumberFormat="1" applyFont="1" applyFill="1" applyAlignment="1">
      <alignment horizontal="center"/>
    </xf>
    <xf numFmtId="3" fontId="4" fillId="2" borderId="0" xfId="5" applyNumberFormat="1" applyFont="1" applyFill="1"/>
    <xf numFmtId="167" fontId="5" fillId="2" borderId="1" xfId="3" applyNumberFormat="1" applyFont="1" applyFill="1" applyBorder="1" applyAlignment="1">
      <alignment horizontal="center" vertical="center" wrapText="1"/>
    </xf>
    <xf numFmtId="168" fontId="5" fillId="2" borderId="1" xfId="3" applyNumberFormat="1" applyFont="1" applyFill="1" applyBorder="1" applyAlignment="1">
      <alignment horizontal="center" vertical="center" wrapText="1"/>
    </xf>
    <xf numFmtId="0" fontId="4" fillId="2" borderId="3" xfId="5" applyFont="1" applyFill="1" applyBorder="1" applyAlignment="1">
      <alignment horizontal="center" vertical="center" wrapText="1"/>
    </xf>
    <xf numFmtId="0" fontId="5" fillId="2" borderId="3" xfId="5" applyFont="1" applyFill="1" applyBorder="1" applyAlignment="1">
      <alignment horizontal="left" vertical="center"/>
    </xf>
    <xf numFmtId="167" fontId="5" fillId="2" borderId="3" xfId="3" applyNumberFormat="1" applyFont="1" applyFill="1" applyBorder="1" applyAlignment="1">
      <alignment horizontal="center" vertical="center" wrapText="1"/>
    </xf>
    <xf numFmtId="3" fontId="14" fillId="2" borderId="0" xfId="5" applyNumberFormat="1" applyFont="1" applyFill="1"/>
    <xf numFmtId="0" fontId="8" fillId="2" borderId="1" xfId="5" applyFont="1" applyFill="1" applyBorder="1" applyAlignment="1">
      <alignment horizontal="center" vertical="center" wrapText="1"/>
    </xf>
    <xf numFmtId="165" fontId="8" fillId="2" borderId="1" xfId="5" applyNumberFormat="1" applyFont="1" applyFill="1" applyBorder="1" applyAlignment="1">
      <alignment horizontal="center" vertical="center" wrapText="1"/>
    </xf>
    <xf numFmtId="167" fontId="8" fillId="2" borderId="1" xfId="3" applyNumberFormat="1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4" fillId="2" borderId="4" xfId="5" quotePrefix="1" applyFont="1" applyFill="1" applyBorder="1" applyAlignment="1">
      <alignment horizontal="center" vertical="center" wrapText="1"/>
    </xf>
    <xf numFmtId="3" fontId="4" fillId="0" borderId="4" xfId="5" quotePrefix="1" applyNumberFormat="1" applyFont="1" applyFill="1" applyBorder="1" applyAlignment="1">
      <alignment horizontal="center" vertical="center" wrapText="1"/>
    </xf>
    <xf numFmtId="168" fontId="5" fillId="2" borderId="3" xfId="3" applyNumberFormat="1" applyFont="1" applyFill="1" applyBorder="1" applyAlignment="1">
      <alignment horizontal="center" vertical="center" wrapText="1"/>
    </xf>
    <xf numFmtId="166" fontId="5" fillId="2" borderId="1" xfId="3" applyNumberFormat="1" applyFont="1" applyFill="1" applyBorder="1" applyAlignment="1">
      <alignment horizontal="center" vertical="center" wrapText="1"/>
    </xf>
    <xf numFmtId="3" fontId="4" fillId="0" borderId="1" xfId="5" quotePrefix="1" applyNumberFormat="1" applyFont="1" applyFill="1" applyBorder="1" applyAlignment="1">
      <alignment horizontal="center" vertical="center" wrapText="1"/>
    </xf>
    <xf numFmtId="168" fontId="4" fillId="0" borderId="4" xfId="2" applyNumberFormat="1" applyFont="1" applyFill="1" applyBorder="1" applyAlignment="1">
      <alignment horizontal="center" vertical="center" wrapText="1"/>
    </xf>
    <xf numFmtId="0" fontId="5" fillId="2" borderId="4" xfId="5" applyFont="1" applyFill="1" applyBorder="1" applyAlignment="1">
      <alignment horizontal="left" vertical="center" wrapText="1"/>
    </xf>
    <xf numFmtId="0" fontId="15" fillId="2" borderId="1" xfId="5" applyFont="1" applyFill="1" applyBorder="1" applyAlignment="1">
      <alignment horizontal="left" vertical="center" wrapText="1"/>
    </xf>
    <xf numFmtId="166" fontId="5" fillId="0" borderId="1" xfId="3" applyNumberFormat="1" applyFont="1" applyFill="1" applyBorder="1" applyAlignment="1">
      <alignment horizontal="center" vertical="center" wrapText="1"/>
    </xf>
    <xf numFmtId="168" fontId="5" fillId="0" borderId="1" xfId="3" applyNumberFormat="1" applyFont="1" applyFill="1" applyBorder="1" applyAlignment="1">
      <alignment horizontal="center" vertical="center" wrapText="1"/>
    </xf>
    <xf numFmtId="0" fontId="5" fillId="2" borderId="2" xfId="5" applyNumberFormat="1" applyFont="1" applyFill="1" applyBorder="1" applyAlignment="1">
      <alignment vertical="center" wrapText="1"/>
    </xf>
    <xf numFmtId="166" fontId="5" fillId="2" borderId="2" xfId="3" applyNumberFormat="1" applyFont="1" applyFill="1" applyBorder="1" applyAlignment="1">
      <alignment vertical="center" wrapText="1"/>
    </xf>
    <xf numFmtId="168" fontId="5" fillId="2" borderId="2" xfId="3" applyNumberFormat="1" applyFont="1" applyFill="1" applyBorder="1" applyAlignment="1">
      <alignment vertical="center" wrapText="1"/>
    </xf>
    <xf numFmtId="0" fontId="9" fillId="0" borderId="1" xfId="5" applyNumberFormat="1" applyFont="1" applyFill="1" applyBorder="1" applyAlignment="1">
      <alignment horizontal="left" vertical="center" wrapText="1"/>
    </xf>
    <xf numFmtId="167" fontId="5" fillId="0" borderId="1" xfId="3" applyNumberFormat="1" applyFont="1" applyFill="1" applyBorder="1" applyAlignment="1">
      <alignment horizontal="center" vertical="center" wrapText="1"/>
    </xf>
    <xf numFmtId="167" fontId="5" fillId="0" borderId="4" xfId="3" applyNumberFormat="1" applyFont="1" applyFill="1" applyBorder="1" applyAlignment="1">
      <alignment horizontal="center" vertical="center" wrapText="1"/>
    </xf>
    <xf numFmtId="166" fontId="5" fillId="0" borderId="4" xfId="3" applyNumberFormat="1" applyFont="1" applyFill="1" applyBorder="1" applyAlignment="1">
      <alignment horizontal="center" vertical="center" wrapText="1"/>
    </xf>
    <xf numFmtId="166" fontId="4" fillId="2" borderId="2" xfId="3" applyNumberFormat="1" applyFont="1" applyFill="1" applyBorder="1" applyAlignment="1">
      <alignment vertical="center" wrapText="1"/>
    </xf>
    <xf numFmtId="0" fontId="4" fillId="2" borderId="2" xfId="5" applyNumberFormat="1" applyFont="1" applyFill="1" applyBorder="1" applyAlignment="1">
      <alignment vertical="center" wrapText="1"/>
    </xf>
    <xf numFmtId="168" fontId="5" fillId="0" borderId="4" xfId="3" applyNumberFormat="1" applyFont="1" applyFill="1" applyBorder="1" applyAlignment="1">
      <alignment horizontal="center" vertical="center" wrapText="1"/>
    </xf>
    <xf numFmtId="0" fontId="4" fillId="2" borderId="4" xfId="5" applyNumberFormat="1" applyFont="1" applyFill="1" applyBorder="1" applyAlignment="1">
      <alignment vertical="center" wrapText="1"/>
    </xf>
    <xf numFmtId="168" fontId="4" fillId="2" borderId="2" xfId="3" applyNumberFormat="1" applyFont="1" applyFill="1" applyBorder="1" applyAlignment="1">
      <alignment vertical="center" wrapText="1"/>
    </xf>
    <xf numFmtId="168" fontId="4" fillId="2" borderId="5" xfId="3" applyNumberFormat="1" applyFont="1" applyFill="1" applyBorder="1" applyAlignment="1">
      <alignment vertical="center" wrapText="1"/>
    </xf>
    <xf numFmtId="168" fontId="4" fillId="2" borderId="4" xfId="3" applyNumberFormat="1" applyFont="1" applyFill="1" applyBorder="1" applyAlignment="1">
      <alignment vertical="center" wrapText="1"/>
    </xf>
    <xf numFmtId="166" fontId="4" fillId="2" borderId="4" xfId="3" applyNumberFormat="1" applyFont="1" applyFill="1" applyBorder="1" applyAlignment="1">
      <alignment vertical="center" wrapText="1"/>
    </xf>
    <xf numFmtId="0" fontId="6" fillId="2" borderId="4" xfId="5" applyFont="1" applyFill="1" applyBorder="1" applyAlignment="1">
      <alignment horizontal="center" vertical="center" wrapText="1"/>
    </xf>
    <xf numFmtId="168" fontId="4" fillId="2" borderId="4" xfId="3" applyNumberFormat="1" applyFont="1" applyFill="1" applyBorder="1" applyAlignment="1">
      <alignment horizontal="right" vertical="center" wrapText="1"/>
    </xf>
    <xf numFmtId="166" fontId="4" fillId="2" borderId="4" xfId="3" applyNumberFormat="1" applyFont="1" applyFill="1" applyBorder="1" applyAlignment="1">
      <alignment horizontal="right" vertical="center" wrapText="1"/>
    </xf>
    <xf numFmtId="0" fontId="10" fillId="2" borderId="4" xfId="5" applyNumberFormat="1" applyFont="1" applyFill="1" applyBorder="1" applyAlignment="1">
      <alignment vertical="center" wrapText="1"/>
    </xf>
    <xf numFmtId="43" fontId="4" fillId="2" borderId="2" xfId="3" applyNumberFormat="1" applyFont="1" applyFill="1" applyBorder="1" applyAlignment="1">
      <alignment vertical="center" wrapText="1"/>
    </xf>
    <xf numFmtId="168" fontId="4" fillId="2" borderId="7" xfId="3" applyNumberFormat="1" applyFont="1" applyFill="1" applyBorder="1" applyAlignment="1">
      <alignment vertical="center" wrapText="1"/>
    </xf>
    <xf numFmtId="0" fontId="4" fillId="2" borderId="7" xfId="5" applyNumberFormat="1" applyFont="1" applyFill="1" applyBorder="1" applyAlignment="1">
      <alignment vertical="center" wrapText="1"/>
    </xf>
    <xf numFmtId="166" fontId="4" fillId="2" borderId="7" xfId="3" applyNumberFormat="1" applyFont="1" applyFill="1" applyBorder="1" applyAlignment="1">
      <alignment vertical="center" wrapText="1"/>
    </xf>
    <xf numFmtId="0" fontId="5" fillId="2" borderId="2" xfId="5" applyNumberFormat="1" applyFont="1" applyFill="1" applyBorder="1" applyAlignment="1">
      <alignment horizontal="left" vertical="center" wrapText="1"/>
    </xf>
    <xf numFmtId="43" fontId="4" fillId="2" borderId="7" xfId="3" applyNumberFormat="1" applyFont="1" applyFill="1" applyBorder="1" applyAlignment="1">
      <alignment vertical="center" wrapText="1"/>
    </xf>
    <xf numFmtId="43" fontId="4" fillId="2" borderId="8" xfId="3" applyNumberFormat="1" applyFont="1" applyFill="1" applyBorder="1" applyAlignment="1">
      <alignment vertical="center" wrapText="1"/>
    </xf>
    <xf numFmtId="167" fontId="4" fillId="2" borderId="7" xfId="3" applyNumberFormat="1" applyFont="1" applyFill="1" applyBorder="1" applyAlignment="1">
      <alignment vertical="center" wrapText="1"/>
    </xf>
    <xf numFmtId="0" fontId="4" fillId="2" borderId="4" xfId="5" applyFont="1" applyFill="1" applyBorder="1" applyAlignment="1">
      <alignment horizontal="center" vertical="center" wrapText="1"/>
    </xf>
    <xf numFmtId="0" fontId="4" fillId="2" borderId="4" xfId="5" applyFont="1" applyFill="1" applyBorder="1" applyAlignment="1">
      <alignment horizontal="left" vertical="center"/>
    </xf>
    <xf numFmtId="167" fontId="4" fillId="2" borderId="4" xfId="3" applyNumberFormat="1" applyFont="1" applyFill="1" applyBorder="1" applyAlignment="1">
      <alignment horizontal="center" vertical="center" wrapText="1"/>
    </xf>
    <xf numFmtId="168" fontId="4" fillId="2" borderId="4" xfId="3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0" fontId="9" fillId="0" borderId="3" xfId="5" applyNumberFormat="1" applyFont="1" applyFill="1" applyBorder="1" applyAlignment="1">
      <alignment horizontal="left" vertical="center" wrapText="1"/>
    </xf>
    <xf numFmtId="0" fontId="4" fillId="2" borderId="2" xfId="5" applyFont="1" applyFill="1" applyBorder="1" applyAlignment="1">
      <alignment horizontal="center" vertical="center" wrapText="1"/>
    </xf>
    <xf numFmtId="0" fontId="4" fillId="2" borderId="7" xfId="5" quotePrefix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 wrapText="1"/>
    </xf>
    <xf numFmtId="43" fontId="4" fillId="2" borderId="7" xfId="3" quotePrefix="1" applyNumberFormat="1" applyFont="1" applyFill="1" applyBorder="1" applyAlignment="1">
      <alignment horizontal="center" vertical="center" wrapText="1"/>
    </xf>
    <xf numFmtId="167" fontId="5" fillId="2" borderId="2" xfId="3" applyNumberFormat="1" applyFont="1" applyFill="1" applyBorder="1" applyAlignment="1">
      <alignment vertical="center" wrapText="1"/>
    </xf>
    <xf numFmtId="43" fontId="5" fillId="2" borderId="4" xfId="3" applyNumberFormat="1" applyFont="1" applyFill="1" applyBorder="1" applyAlignment="1">
      <alignment vertical="center" wrapText="1"/>
    </xf>
    <xf numFmtId="168" fontId="5" fillId="2" borderId="4" xfId="3" applyNumberFormat="1" applyFont="1" applyFill="1" applyBorder="1" applyAlignment="1">
      <alignment vertical="center" wrapText="1"/>
    </xf>
    <xf numFmtId="166" fontId="5" fillId="2" borderId="4" xfId="3" applyNumberFormat="1" applyFont="1" applyFill="1" applyBorder="1" applyAlignment="1">
      <alignment vertical="center" wrapText="1"/>
    </xf>
    <xf numFmtId="0" fontId="4" fillId="2" borderId="1" xfId="5" applyFont="1" applyFill="1" applyBorder="1" applyAlignment="1">
      <alignment horizontal="center" vertical="center" wrapText="1"/>
    </xf>
    <xf numFmtId="167" fontId="5" fillId="2" borderId="4" xfId="3" applyNumberFormat="1" applyFont="1" applyFill="1" applyBorder="1" applyAlignment="1">
      <alignment vertical="center" wrapText="1"/>
    </xf>
    <xf numFmtId="0" fontId="4" fillId="2" borderId="1" xfId="5" applyNumberFormat="1" applyFont="1" applyFill="1" applyBorder="1" applyAlignment="1">
      <alignment vertical="center" wrapText="1"/>
    </xf>
    <xf numFmtId="2" fontId="4" fillId="0" borderId="1" xfId="5" applyNumberFormat="1" applyFont="1" applyFill="1" applyBorder="1" applyAlignment="1">
      <alignment horizontal="center" vertical="center" wrapText="1"/>
    </xf>
    <xf numFmtId="168" fontId="4" fillId="2" borderId="1" xfId="3" applyNumberFormat="1" applyFont="1" applyFill="1" applyBorder="1" applyAlignment="1">
      <alignment vertical="center" wrapText="1"/>
    </xf>
    <xf numFmtId="166" fontId="4" fillId="2" borderId="1" xfId="3" applyNumberFormat="1" applyFont="1" applyFill="1" applyBorder="1" applyAlignment="1">
      <alignment vertical="center" wrapText="1"/>
    </xf>
    <xf numFmtId="43" fontId="4" fillId="2" borderId="1" xfId="3" applyNumberFormat="1" applyFont="1" applyFill="1" applyBorder="1" applyAlignment="1">
      <alignment vertical="center" wrapText="1"/>
    </xf>
    <xf numFmtId="168" fontId="4" fillId="0" borderId="1" xfId="2" applyNumberFormat="1" applyFont="1" applyFill="1" applyBorder="1" applyAlignment="1">
      <alignment horizontal="center" vertical="center" wrapText="1"/>
    </xf>
    <xf numFmtId="168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right" vertical="center" wrapText="1"/>
    </xf>
    <xf numFmtId="0" fontId="6" fillId="2" borderId="1" xfId="5" applyFont="1" applyFill="1" applyBorder="1" applyAlignment="1">
      <alignment horizontal="left" vertical="center" wrapText="1"/>
    </xf>
    <xf numFmtId="166" fontId="5" fillId="2" borderId="3" xfId="1" applyNumberFormat="1" applyFont="1" applyFill="1" applyBorder="1" applyAlignment="1">
      <alignment horizontal="center" vertical="center" wrapText="1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0" fontId="4" fillId="2" borderId="13" xfId="5" applyFont="1" applyFill="1" applyBorder="1" applyAlignment="1">
      <alignment horizontal="center" vertical="center" wrapText="1"/>
    </xf>
    <xf numFmtId="0" fontId="4" fillId="2" borderId="13" xfId="5" applyNumberFormat="1" applyFont="1" applyFill="1" applyBorder="1" applyAlignment="1">
      <alignment vertical="center" wrapText="1"/>
    </xf>
    <xf numFmtId="2" fontId="4" fillId="0" borderId="13" xfId="5" applyNumberFormat="1" applyFont="1" applyFill="1" applyBorder="1" applyAlignment="1">
      <alignment horizontal="center" vertical="center" wrapText="1"/>
    </xf>
    <xf numFmtId="168" fontId="4" fillId="2" borderId="13" xfId="3" applyNumberFormat="1" applyFont="1" applyFill="1" applyBorder="1" applyAlignment="1">
      <alignment vertical="center" wrapText="1"/>
    </xf>
    <xf numFmtId="166" fontId="4" fillId="2" borderId="13" xfId="3" applyNumberFormat="1" applyFont="1" applyFill="1" applyBorder="1" applyAlignment="1">
      <alignment vertical="center" wrapText="1"/>
    </xf>
    <xf numFmtId="43" fontId="4" fillId="2" borderId="13" xfId="3" applyNumberFormat="1" applyFont="1" applyFill="1" applyBorder="1" applyAlignment="1">
      <alignment vertical="center" wrapText="1"/>
    </xf>
    <xf numFmtId="168" fontId="4" fillId="0" borderId="14" xfId="2" applyNumberFormat="1" applyFont="1" applyFill="1" applyBorder="1" applyAlignment="1">
      <alignment horizontal="center" vertical="center" wrapText="1"/>
    </xf>
    <xf numFmtId="166" fontId="4" fillId="2" borderId="14" xfId="3" applyNumberFormat="1" applyFont="1" applyFill="1" applyBorder="1" applyAlignment="1">
      <alignment vertical="center" wrapText="1"/>
    </xf>
    <xf numFmtId="3" fontId="4" fillId="0" borderId="13" xfId="5" quotePrefix="1" applyNumberFormat="1" applyFont="1" applyFill="1" applyBorder="1" applyAlignment="1">
      <alignment horizontal="center" vertical="center" wrapText="1"/>
    </xf>
    <xf numFmtId="168" fontId="4" fillId="2" borderId="13" xfId="3" applyNumberFormat="1" applyFont="1" applyFill="1" applyBorder="1" applyAlignment="1">
      <alignment horizontal="right" vertical="center" wrapText="1"/>
    </xf>
    <xf numFmtId="166" fontId="4" fillId="2" borderId="13" xfId="3" applyNumberFormat="1" applyFont="1" applyFill="1" applyBorder="1" applyAlignment="1">
      <alignment horizontal="right" vertical="center" wrapText="1"/>
    </xf>
    <xf numFmtId="0" fontId="6" fillId="2" borderId="13" xfId="5" applyFont="1" applyFill="1" applyBorder="1" applyAlignment="1">
      <alignment horizontal="left" vertical="center" wrapText="1"/>
    </xf>
    <xf numFmtId="0" fontId="4" fillId="2" borderId="2" xfId="5" applyFont="1" applyFill="1" applyBorder="1" applyAlignment="1">
      <alignment horizontal="left" vertical="center"/>
    </xf>
    <xf numFmtId="167" fontId="4" fillId="2" borderId="2" xfId="3" applyNumberFormat="1" applyFont="1" applyFill="1" applyBorder="1" applyAlignment="1">
      <alignment horizontal="center" vertical="center" wrapText="1"/>
    </xf>
    <xf numFmtId="168" fontId="4" fillId="2" borderId="2" xfId="3" applyNumberFormat="1" applyFont="1" applyFill="1" applyBorder="1" applyAlignment="1">
      <alignment horizontal="center" vertical="center" wrapText="1"/>
    </xf>
    <xf numFmtId="166" fontId="4" fillId="2" borderId="2" xfId="3" applyNumberFormat="1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 wrapText="1"/>
    </xf>
    <xf numFmtId="167" fontId="4" fillId="2" borderId="4" xfId="3" quotePrefix="1" applyNumberFormat="1" applyFont="1" applyFill="1" applyBorder="1" applyAlignment="1">
      <alignment horizontal="center" vertical="center" wrapText="1"/>
    </xf>
    <xf numFmtId="0" fontId="4" fillId="2" borderId="14" xfId="5" quotePrefix="1" applyFont="1" applyFill="1" applyBorder="1" applyAlignment="1">
      <alignment horizontal="center" vertical="center" wrapText="1"/>
    </xf>
    <xf numFmtId="0" fontId="10" fillId="2" borderId="14" xfId="5" applyNumberFormat="1" applyFont="1" applyFill="1" applyBorder="1" applyAlignment="1">
      <alignment vertical="center" wrapText="1"/>
    </xf>
    <xf numFmtId="43" fontId="5" fillId="2" borderId="14" xfId="3" applyNumberFormat="1" applyFont="1" applyFill="1" applyBorder="1" applyAlignment="1">
      <alignment vertical="center" wrapText="1"/>
    </xf>
    <xf numFmtId="168" fontId="5" fillId="2" borderId="14" xfId="3" applyNumberFormat="1" applyFont="1" applyFill="1" applyBorder="1" applyAlignment="1">
      <alignment vertical="center" wrapText="1"/>
    </xf>
    <xf numFmtId="166" fontId="5" fillId="2" borderId="14" xfId="3" applyNumberFormat="1" applyFont="1" applyFill="1" applyBorder="1" applyAlignment="1">
      <alignment vertical="center" wrapText="1"/>
    </xf>
    <xf numFmtId="0" fontId="4" fillId="2" borderId="14" xfId="5" applyFont="1" applyFill="1" applyBorder="1" applyAlignment="1">
      <alignment horizontal="center" vertical="center" wrapText="1"/>
    </xf>
    <xf numFmtId="164" fontId="4" fillId="0" borderId="2" xfId="5" applyNumberFormat="1" applyFont="1" applyFill="1" applyBorder="1" applyAlignment="1">
      <alignment horizontal="center" vertical="center" wrapText="1"/>
    </xf>
    <xf numFmtId="0" fontId="4" fillId="2" borderId="6" xfId="5" applyFont="1" applyFill="1" applyBorder="1" applyAlignment="1">
      <alignment horizontal="center" vertical="center" wrapText="1"/>
    </xf>
    <xf numFmtId="0" fontId="4" fillId="2" borderId="6" xfId="5" applyNumberFormat="1" applyFont="1" applyFill="1" applyBorder="1" applyAlignment="1">
      <alignment vertical="center" wrapText="1"/>
    </xf>
    <xf numFmtId="2" fontId="4" fillId="0" borderId="6" xfId="5" applyNumberFormat="1" applyFont="1" applyFill="1" applyBorder="1" applyAlignment="1">
      <alignment horizontal="center" vertical="center" wrapText="1"/>
    </xf>
    <xf numFmtId="168" fontId="4" fillId="2" borderId="6" xfId="3" applyNumberFormat="1" applyFont="1" applyFill="1" applyBorder="1" applyAlignment="1">
      <alignment vertical="center" wrapText="1"/>
    </xf>
    <xf numFmtId="166" fontId="4" fillId="2" borderId="6" xfId="3" applyNumberFormat="1" applyFont="1" applyFill="1" applyBorder="1" applyAlignment="1">
      <alignment vertical="center" wrapText="1"/>
    </xf>
    <xf numFmtId="43" fontId="4" fillId="2" borderId="6" xfId="3" applyNumberFormat="1" applyFont="1" applyFill="1" applyBorder="1" applyAlignment="1">
      <alignment vertical="center" wrapText="1"/>
    </xf>
    <xf numFmtId="168" fontId="4" fillId="0" borderId="6" xfId="2" applyNumberFormat="1" applyFont="1" applyFill="1" applyBorder="1" applyAlignment="1">
      <alignment horizontal="center" vertical="center" wrapText="1"/>
    </xf>
    <xf numFmtId="3" fontId="4" fillId="0" borderId="6" xfId="5" quotePrefix="1" applyNumberFormat="1" applyFont="1" applyFill="1" applyBorder="1" applyAlignment="1">
      <alignment horizontal="center" vertical="center" wrapText="1"/>
    </xf>
    <xf numFmtId="168" fontId="4" fillId="2" borderId="6" xfId="3" applyNumberFormat="1" applyFont="1" applyFill="1" applyBorder="1" applyAlignment="1">
      <alignment horizontal="right" vertical="center" wrapText="1"/>
    </xf>
    <xf numFmtId="166" fontId="4" fillId="2" borderId="6" xfId="3" applyNumberFormat="1" applyFont="1" applyFill="1" applyBorder="1" applyAlignment="1">
      <alignment horizontal="right" vertical="center" wrapText="1"/>
    </xf>
    <xf numFmtId="0" fontId="6" fillId="2" borderId="6" xfId="5" applyFont="1" applyFill="1" applyBorder="1" applyAlignment="1">
      <alignment horizontal="left" vertical="center" wrapText="1"/>
    </xf>
    <xf numFmtId="0" fontId="4" fillId="2" borderId="3" xfId="5" applyNumberFormat="1" applyFont="1" applyFill="1" applyBorder="1" applyAlignment="1">
      <alignment vertical="center" wrapText="1"/>
    </xf>
    <xf numFmtId="2" fontId="4" fillId="0" borderId="3" xfId="5" applyNumberFormat="1" applyFont="1" applyFill="1" applyBorder="1" applyAlignment="1">
      <alignment horizontal="center" vertical="center" wrapText="1"/>
    </xf>
    <xf numFmtId="168" fontId="4" fillId="2" borderId="3" xfId="3" applyNumberFormat="1" applyFont="1" applyFill="1" applyBorder="1" applyAlignment="1">
      <alignment vertical="center" wrapText="1"/>
    </xf>
    <xf numFmtId="166" fontId="4" fillId="2" borderId="3" xfId="3" applyNumberFormat="1" applyFont="1" applyFill="1" applyBorder="1" applyAlignment="1">
      <alignment vertical="center" wrapText="1"/>
    </xf>
    <xf numFmtId="43" fontId="4" fillId="2" borderId="3" xfId="3" applyNumberFormat="1" applyFont="1" applyFill="1" applyBorder="1" applyAlignment="1">
      <alignment vertical="center" wrapText="1"/>
    </xf>
    <xf numFmtId="168" fontId="4" fillId="0" borderId="3" xfId="2" applyNumberFormat="1" applyFont="1" applyFill="1" applyBorder="1" applyAlignment="1">
      <alignment horizontal="center" vertical="center" wrapText="1"/>
    </xf>
    <xf numFmtId="3" fontId="4" fillId="0" borderId="3" xfId="5" quotePrefix="1" applyNumberFormat="1" applyFont="1" applyFill="1" applyBorder="1" applyAlignment="1">
      <alignment horizontal="center" vertical="center" wrapText="1"/>
    </xf>
    <xf numFmtId="168" fontId="4" fillId="2" borderId="3" xfId="3" applyNumberFormat="1" applyFont="1" applyFill="1" applyBorder="1" applyAlignment="1">
      <alignment horizontal="right" vertical="center" wrapText="1"/>
    </xf>
    <xf numFmtId="0" fontId="6" fillId="2" borderId="3" xfId="5" applyFont="1" applyFill="1" applyBorder="1" applyAlignment="1">
      <alignment horizontal="left" vertical="center" wrapText="1"/>
    </xf>
    <xf numFmtId="0" fontId="4" fillId="2" borderId="6" xfId="5" quotePrefix="1" applyFont="1" applyFill="1" applyBorder="1" applyAlignment="1">
      <alignment horizontal="center" vertical="center" wrapText="1"/>
    </xf>
    <xf numFmtId="167" fontId="4" fillId="2" borderId="6" xfId="3" applyNumberFormat="1" applyFont="1" applyFill="1" applyBorder="1" applyAlignment="1">
      <alignment vertical="center" wrapText="1"/>
    </xf>
    <xf numFmtId="0" fontId="6" fillId="2" borderId="6" xfId="5" applyFont="1" applyFill="1" applyBorder="1" applyAlignment="1">
      <alignment horizontal="center" vertical="center" wrapText="1"/>
    </xf>
    <xf numFmtId="0" fontId="4" fillId="2" borderId="3" xfId="5" quotePrefix="1" applyFont="1" applyFill="1" applyBorder="1" applyAlignment="1">
      <alignment horizontal="center" vertical="center" wrapText="1"/>
    </xf>
    <xf numFmtId="43" fontId="4" fillId="2" borderId="15" xfId="3" applyNumberFormat="1" applyFont="1" applyFill="1" applyBorder="1" applyAlignment="1">
      <alignment vertical="center" wrapText="1"/>
    </xf>
    <xf numFmtId="167" fontId="4" fillId="2" borderId="3" xfId="3" applyNumberFormat="1" applyFont="1" applyFill="1" applyBorder="1" applyAlignment="1">
      <alignment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4" fillId="2" borderId="2" xfId="5" quotePrefix="1" applyFont="1" applyFill="1" applyBorder="1" applyAlignment="1">
      <alignment horizontal="center" vertical="center" wrapText="1"/>
    </xf>
    <xf numFmtId="3" fontId="4" fillId="0" borderId="2" xfId="5" quotePrefix="1" applyNumberFormat="1" applyFont="1" applyFill="1" applyBorder="1" applyAlignment="1">
      <alignment horizontal="center" vertical="center" wrapText="1"/>
    </xf>
    <xf numFmtId="167" fontId="4" fillId="2" borderId="2" xfId="3" applyNumberFormat="1" applyFont="1" applyFill="1" applyBorder="1" applyAlignment="1">
      <alignment vertical="center" wrapText="1"/>
    </xf>
    <xf numFmtId="2" fontId="4" fillId="0" borderId="4" xfId="5" applyNumberFormat="1" applyFont="1" applyFill="1" applyBorder="1" applyAlignment="1">
      <alignment horizontal="center" vertical="center" wrapText="1"/>
    </xf>
    <xf numFmtId="43" fontId="4" fillId="2" borderId="4" xfId="3" applyNumberFormat="1" applyFont="1" applyFill="1" applyBorder="1" applyAlignment="1">
      <alignment vertical="center" wrapText="1"/>
    </xf>
    <xf numFmtId="0" fontId="6" fillId="2" borderId="4" xfId="5" applyFont="1" applyFill="1" applyBorder="1" applyAlignment="1">
      <alignment horizontal="left" vertical="center" wrapText="1"/>
    </xf>
    <xf numFmtId="168" fontId="4" fillId="2" borderId="9" xfId="3" applyNumberFormat="1" applyFont="1" applyFill="1" applyBorder="1" applyAlignment="1">
      <alignment vertical="center" wrapText="1"/>
    </xf>
    <xf numFmtId="166" fontId="4" fillId="2" borderId="9" xfId="3" applyNumberFormat="1" applyFont="1" applyFill="1" applyBorder="1" applyAlignment="1">
      <alignment vertical="center" wrapText="1"/>
    </xf>
    <xf numFmtId="168" fontId="4" fillId="2" borderId="9" xfId="3" applyNumberFormat="1" applyFont="1" applyFill="1" applyBorder="1" applyAlignment="1">
      <alignment horizontal="right" vertical="center" wrapText="1"/>
    </xf>
    <xf numFmtId="166" fontId="4" fillId="2" borderId="9" xfId="3" applyNumberFormat="1" applyFont="1" applyFill="1" applyBorder="1" applyAlignment="1">
      <alignment horizontal="right" vertical="center" wrapText="1"/>
    </xf>
    <xf numFmtId="168" fontId="4" fillId="2" borderId="2" xfId="3" applyNumberFormat="1" applyFont="1" applyFill="1" applyBorder="1" applyAlignment="1">
      <alignment horizontal="right" vertical="center" wrapText="1"/>
    </xf>
    <xf numFmtId="166" fontId="4" fillId="2" borderId="2" xfId="3" applyNumberFormat="1" applyFont="1" applyFill="1" applyBorder="1" applyAlignment="1">
      <alignment horizontal="right" vertical="center" wrapText="1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3" fontId="4" fillId="0" borderId="14" xfId="5" quotePrefix="1" applyNumberFormat="1" applyFont="1" applyFill="1" applyBorder="1" applyAlignment="1">
      <alignment horizontal="center" vertical="center" wrapText="1"/>
    </xf>
    <xf numFmtId="167" fontId="4" fillId="2" borderId="2" xfId="3" quotePrefix="1" applyNumberFormat="1" applyFont="1" applyFill="1" applyBorder="1" applyAlignment="1">
      <alignment horizontal="center" vertical="center" wrapText="1"/>
    </xf>
    <xf numFmtId="0" fontId="4" fillId="2" borderId="1" xfId="5" quotePrefix="1" applyFont="1" applyFill="1" applyBorder="1" applyAlignment="1">
      <alignment horizontal="center" vertical="center" wrapText="1"/>
    </xf>
    <xf numFmtId="0" fontId="10" fillId="2" borderId="1" xfId="5" applyNumberFormat="1" applyFont="1" applyFill="1" applyBorder="1" applyAlignment="1">
      <alignment vertical="center" wrapText="1"/>
    </xf>
    <xf numFmtId="43" fontId="5" fillId="2" borderId="1" xfId="3" applyNumberFormat="1" applyFont="1" applyFill="1" applyBorder="1" applyAlignment="1">
      <alignment vertical="center" wrapText="1"/>
    </xf>
    <xf numFmtId="168" fontId="5" fillId="2" borderId="1" xfId="3" applyNumberFormat="1" applyFont="1" applyFill="1" applyBorder="1" applyAlignment="1">
      <alignment vertical="center" wrapText="1"/>
    </xf>
    <xf numFmtId="166" fontId="5" fillId="2" borderId="1" xfId="3" applyNumberFormat="1" applyFont="1" applyFill="1" applyBorder="1" applyAlignment="1">
      <alignment vertical="center" wrapText="1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0" fontId="4" fillId="2" borderId="14" xfId="5" applyFont="1" applyFill="1" applyBorder="1" applyAlignment="1">
      <alignment horizontal="left" vertical="center"/>
    </xf>
    <xf numFmtId="167" fontId="4" fillId="2" borderId="14" xfId="3" applyNumberFormat="1" applyFont="1" applyFill="1" applyBorder="1" applyAlignment="1">
      <alignment horizontal="center" vertical="center" wrapText="1"/>
    </xf>
    <xf numFmtId="168" fontId="4" fillId="2" borderId="14" xfId="3" applyNumberFormat="1" applyFont="1" applyFill="1" applyBorder="1" applyAlignment="1">
      <alignment horizontal="center" vertical="center" wrapText="1"/>
    </xf>
    <xf numFmtId="166" fontId="4" fillId="2" borderId="14" xfId="3" applyNumberFormat="1" applyFont="1" applyFill="1" applyBorder="1" applyAlignment="1">
      <alignment horizontal="center" vertical="center" wrapText="1"/>
    </xf>
    <xf numFmtId="167" fontId="4" fillId="2" borderId="14" xfId="3" quotePrefix="1" applyNumberFormat="1" applyFont="1" applyFill="1" applyBorder="1" applyAlignment="1">
      <alignment horizontal="center" vertical="center" wrapText="1"/>
    </xf>
    <xf numFmtId="0" fontId="6" fillId="2" borderId="14" xfId="5" applyFont="1" applyFill="1" applyBorder="1" applyAlignment="1">
      <alignment horizontal="center" vertical="center" wrapText="1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0" fontId="4" fillId="2" borderId="9" xfId="5" applyFont="1" applyFill="1" applyBorder="1" applyAlignment="1">
      <alignment horizontal="center" vertical="center" wrapText="1"/>
    </xf>
    <xf numFmtId="0" fontId="4" fillId="2" borderId="9" xfId="5" applyNumberFormat="1" applyFont="1" applyFill="1" applyBorder="1" applyAlignment="1">
      <alignment vertical="center" wrapText="1"/>
    </xf>
    <xf numFmtId="2" fontId="4" fillId="0" borderId="9" xfId="5" applyNumberFormat="1" applyFont="1" applyFill="1" applyBorder="1" applyAlignment="1">
      <alignment horizontal="center" vertical="center" wrapText="1"/>
    </xf>
    <xf numFmtId="43" fontId="4" fillId="2" borderId="9" xfId="3" applyNumberFormat="1" applyFont="1" applyFill="1" applyBorder="1" applyAlignment="1">
      <alignment vertical="center" wrapText="1"/>
    </xf>
    <xf numFmtId="168" fontId="4" fillId="0" borderId="9" xfId="2" applyNumberFormat="1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left" vertical="center" wrapText="1"/>
    </xf>
    <xf numFmtId="167" fontId="5" fillId="2" borderId="1" xfId="3" applyNumberFormat="1" applyFont="1" applyFill="1" applyBorder="1" applyAlignment="1">
      <alignment vertical="center" wrapText="1"/>
    </xf>
    <xf numFmtId="0" fontId="5" fillId="2" borderId="14" xfId="5" applyFont="1" applyFill="1" applyBorder="1" applyAlignment="1">
      <alignment horizontal="left" vertical="center" wrapText="1"/>
    </xf>
    <xf numFmtId="0" fontId="4" fillId="2" borderId="1" xfId="5" applyFont="1" applyFill="1" applyBorder="1" applyAlignment="1">
      <alignment horizontal="left" vertical="center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167" fontId="4" fillId="2" borderId="1" xfId="3" applyNumberFormat="1" applyFont="1" applyFill="1" applyBorder="1" applyAlignment="1">
      <alignment vertical="center" wrapText="1"/>
    </xf>
    <xf numFmtId="43" fontId="4" fillId="2" borderId="11" xfId="3" applyNumberFormat="1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center" vertical="center" wrapText="1"/>
    </xf>
    <xf numFmtId="0" fontId="6" fillId="2" borderId="0" xfId="5" applyFont="1" applyFill="1" applyBorder="1" applyAlignment="1">
      <alignment horizontal="center" vertical="center" wrapText="1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164" fontId="4" fillId="0" borderId="2" xfId="7" applyNumberFormat="1" applyFont="1" applyFill="1" applyBorder="1" applyAlignment="1">
      <alignment horizontal="center" vertical="center" wrapText="1"/>
    </xf>
    <xf numFmtId="9" fontId="4" fillId="0" borderId="2" xfId="5" quotePrefix="1" applyNumberFormat="1" applyFont="1" applyFill="1" applyBorder="1" applyAlignment="1">
      <alignment horizontal="center" vertical="center" wrapText="1"/>
    </xf>
    <xf numFmtId="0" fontId="4" fillId="0" borderId="2" xfId="5" quotePrefix="1" applyFont="1" applyFill="1" applyBorder="1" applyAlignment="1">
      <alignment horizontal="center" vertical="center" wrapText="1"/>
    </xf>
    <xf numFmtId="165" fontId="4" fillId="0" borderId="2" xfId="5" quotePrefix="1" applyNumberFormat="1" applyFont="1" applyFill="1" applyBorder="1" applyAlignment="1">
      <alignment horizontal="center" vertical="center" wrapText="1"/>
    </xf>
    <xf numFmtId="0" fontId="4" fillId="0" borderId="2" xfId="5" quotePrefix="1" applyNumberFormat="1" applyFont="1" applyFill="1" applyBorder="1" applyAlignment="1">
      <alignment horizontal="left" vertical="center"/>
    </xf>
    <xf numFmtId="0" fontId="4" fillId="0" borderId="2" xfId="7" applyFont="1" applyFill="1" applyBorder="1" applyAlignment="1">
      <alignment horizontal="left" vertical="center"/>
    </xf>
    <xf numFmtId="0" fontId="4" fillId="0" borderId="2" xfId="5" applyFont="1" applyFill="1" applyBorder="1" applyAlignment="1">
      <alignment horizontal="left" vertical="center"/>
    </xf>
    <xf numFmtId="9" fontId="4" fillId="0" borderId="2" xfId="5" applyNumberFormat="1" applyFont="1" applyFill="1" applyBorder="1" applyAlignment="1">
      <alignment horizontal="center" vertical="center"/>
    </xf>
    <xf numFmtId="0" fontId="13" fillId="0" borderId="2" xfId="5" applyFont="1" applyFill="1" applyBorder="1" applyAlignment="1"/>
    <xf numFmtId="164" fontId="4" fillId="0" borderId="2" xfId="5" applyNumberFormat="1" applyFont="1" applyFill="1" applyBorder="1" applyAlignment="1">
      <alignment horizontal="right" vertical="center"/>
    </xf>
    <xf numFmtId="0" fontId="6" fillId="0" borderId="2" xfId="5" applyFont="1" applyFill="1" applyBorder="1" applyAlignment="1">
      <alignment horizontal="center" vertical="center" wrapText="1"/>
    </xf>
    <xf numFmtId="165" fontId="4" fillId="2" borderId="2" xfId="5" applyNumberFormat="1" applyFont="1" applyFill="1" applyBorder="1" applyAlignment="1">
      <alignment horizontal="right" vertical="center"/>
    </xf>
    <xf numFmtId="168" fontId="4" fillId="2" borderId="2" xfId="5" applyNumberFormat="1" applyFont="1" applyFill="1" applyBorder="1" applyAlignment="1">
      <alignment horizontal="left" vertical="center"/>
    </xf>
    <xf numFmtId="0" fontId="4" fillId="2" borderId="6" xfId="5" applyFont="1" applyFill="1" applyBorder="1" applyAlignment="1">
      <alignment horizontal="left" vertical="center"/>
    </xf>
    <xf numFmtId="164" fontId="4" fillId="0" borderId="6" xfId="7" applyNumberFormat="1" applyFont="1" applyFill="1" applyBorder="1" applyAlignment="1">
      <alignment horizontal="center" vertical="center" wrapText="1"/>
    </xf>
    <xf numFmtId="9" fontId="4" fillId="0" borderId="6" xfId="5" quotePrefix="1" applyNumberFormat="1" applyFont="1" applyFill="1" applyBorder="1" applyAlignment="1">
      <alignment horizontal="center" vertical="center" wrapText="1"/>
    </xf>
    <xf numFmtId="0" fontId="4" fillId="0" borderId="6" xfId="5" quotePrefix="1" applyFont="1" applyFill="1" applyBorder="1" applyAlignment="1">
      <alignment horizontal="center" vertical="center" wrapText="1"/>
    </xf>
    <xf numFmtId="165" fontId="4" fillId="0" borderId="6" xfId="5" quotePrefix="1" applyNumberFormat="1" applyFont="1" applyFill="1" applyBorder="1" applyAlignment="1">
      <alignment horizontal="center" vertical="center" wrapText="1"/>
    </xf>
    <xf numFmtId="0" fontId="4" fillId="0" borderId="6" xfId="5" quotePrefix="1" applyNumberFormat="1" applyFont="1" applyFill="1" applyBorder="1" applyAlignment="1">
      <alignment horizontal="left" vertical="center"/>
    </xf>
    <xf numFmtId="0" fontId="4" fillId="0" borderId="6" xfId="7" applyFont="1" applyFill="1" applyBorder="1" applyAlignment="1">
      <alignment horizontal="right" vertical="center"/>
    </xf>
    <xf numFmtId="0" fontId="4" fillId="0" borderId="6" xfId="7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left" vertical="center"/>
    </xf>
    <xf numFmtId="9" fontId="4" fillId="0" borderId="6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right" vertical="center"/>
    </xf>
    <xf numFmtId="166" fontId="4" fillId="0" borderId="6" xfId="1" applyNumberFormat="1" applyFont="1" applyFill="1" applyBorder="1" applyAlignment="1">
      <alignment horizontal="right" vertical="center"/>
    </xf>
    <xf numFmtId="169" fontId="4" fillId="0" borderId="6" xfId="5" applyNumberFormat="1" applyFont="1" applyFill="1" applyBorder="1" applyAlignment="1">
      <alignment horizontal="right" vertical="center"/>
    </xf>
    <xf numFmtId="170" fontId="4" fillId="0" borderId="6" xfId="5" applyNumberFormat="1" applyFont="1" applyFill="1" applyBorder="1" applyAlignment="1">
      <alignment horizontal="right" vertical="center"/>
    </xf>
    <xf numFmtId="165" fontId="4" fillId="2" borderId="2" xfId="5" applyNumberFormat="1" applyFont="1" applyFill="1" applyBorder="1" applyAlignment="1">
      <alignment horizontal="left" vertical="center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0" fontId="4" fillId="2" borderId="14" xfId="5" applyNumberFormat="1" applyFont="1" applyFill="1" applyBorder="1" applyAlignment="1">
      <alignment vertical="center" wrapText="1"/>
    </xf>
    <xf numFmtId="164" fontId="4" fillId="0" borderId="14" xfId="5" applyNumberFormat="1" applyFont="1" applyFill="1" applyBorder="1" applyAlignment="1">
      <alignment horizontal="center" vertical="center" wrapText="1"/>
    </xf>
    <xf numFmtId="168" fontId="4" fillId="2" borderId="14" xfId="3" applyNumberFormat="1" applyFont="1" applyFill="1" applyBorder="1" applyAlignment="1">
      <alignment vertical="center" wrapText="1"/>
    </xf>
    <xf numFmtId="168" fontId="4" fillId="2" borderId="0" xfId="3" applyNumberFormat="1" applyFont="1" applyFill="1" applyBorder="1" applyAlignment="1">
      <alignment vertical="center" wrapText="1"/>
    </xf>
    <xf numFmtId="43" fontId="4" fillId="2" borderId="14" xfId="3" applyNumberFormat="1" applyFont="1" applyFill="1" applyBorder="1" applyAlignment="1">
      <alignment vertical="center" wrapText="1"/>
    </xf>
    <xf numFmtId="168" fontId="4" fillId="2" borderId="14" xfId="3" applyNumberFormat="1" applyFont="1" applyFill="1" applyBorder="1" applyAlignment="1">
      <alignment horizontal="right" vertical="center" wrapText="1"/>
    </xf>
    <xf numFmtId="0" fontId="4" fillId="0" borderId="4" xfId="5" applyFont="1" applyFill="1" applyBorder="1" applyAlignment="1">
      <alignment horizontal="center" vertical="center" wrapText="1"/>
    </xf>
    <xf numFmtId="0" fontId="4" fillId="0" borderId="4" xfId="5" applyFont="1" applyFill="1" applyBorder="1" applyAlignment="1">
      <alignment horizontal="left" vertical="center"/>
    </xf>
    <xf numFmtId="167" fontId="4" fillId="0" borderId="4" xfId="3" applyNumberFormat="1" applyFont="1" applyFill="1" applyBorder="1" applyAlignment="1">
      <alignment horizontal="center" vertical="center" wrapText="1"/>
    </xf>
    <xf numFmtId="168" fontId="4" fillId="0" borderId="4" xfId="3" applyNumberFormat="1" applyFont="1" applyFill="1" applyBorder="1" applyAlignment="1">
      <alignment horizontal="center" vertical="center" wrapText="1"/>
    </xf>
    <xf numFmtId="166" fontId="4" fillId="0" borderId="4" xfId="3" applyNumberFormat="1" applyFont="1" applyFill="1" applyBorder="1" applyAlignment="1">
      <alignment horizontal="center" vertical="center" wrapText="1"/>
    </xf>
    <xf numFmtId="167" fontId="4" fillId="0" borderId="4" xfId="3" quotePrefix="1" applyNumberFormat="1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horizontal="center" vertical="center" wrapText="1"/>
    </xf>
    <xf numFmtId="0" fontId="0" fillId="0" borderId="0" xfId="0" applyFill="1"/>
    <xf numFmtId="164" fontId="4" fillId="0" borderId="13" xfId="5" applyNumberFormat="1" applyFont="1" applyFill="1" applyBorder="1" applyAlignment="1">
      <alignment horizontal="center" vertical="center" wrapText="1"/>
    </xf>
    <xf numFmtId="168" fontId="4" fillId="2" borderId="16" xfId="3" applyNumberFormat="1" applyFont="1" applyFill="1" applyBorder="1" applyAlignment="1">
      <alignment vertical="center" wrapText="1"/>
    </xf>
    <xf numFmtId="168" fontId="4" fillId="0" borderId="2" xfId="2" applyNumberFormat="1" applyFont="1" applyFill="1" applyBorder="1" applyAlignment="1">
      <alignment horizontal="center" vertical="center" wrapText="1"/>
    </xf>
    <xf numFmtId="168" fontId="4" fillId="0" borderId="13" xfId="2" applyNumberFormat="1" applyFont="1" applyFill="1" applyBorder="1" applyAlignment="1">
      <alignment horizontal="center" vertical="center" wrapText="1"/>
    </xf>
    <xf numFmtId="166" fontId="5" fillId="2" borderId="3" xfId="3" applyNumberFormat="1" applyFont="1" applyFill="1" applyBorder="1" applyAlignment="1">
      <alignment horizontal="center" vertical="center" wrapText="1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0" fontId="4" fillId="0" borderId="2" xfId="5" applyNumberFormat="1" applyFont="1" applyFill="1" applyBorder="1" applyAlignment="1">
      <alignment vertical="center" wrapText="1"/>
    </xf>
    <xf numFmtId="0" fontId="4" fillId="0" borderId="4" xfId="5" applyNumberFormat="1" applyFont="1" applyFill="1" applyBorder="1" applyAlignment="1">
      <alignment vertical="center" wrapText="1"/>
    </xf>
    <xf numFmtId="168" fontId="4" fillId="0" borderId="2" xfId="3" applyNumberFormat="1" applyFont="1" applyFill="1" applyBorder="1" applyAlignment="1">
      <alignment vertical="center" wrapText="1"/>
    </xf>
    <xf numFmtId="168" fontId="4" fillId="0" borderId="5" xfId="3" applyNumberFormat="1" applyFont="1" applyFill="1" applyBorder="1" applyAlignment="1">
      <alignment vertical="center" wrapText="1"/>
    </xf>
    <xf numFmtId="166" fontId="4" fillId="0" borderId="2" xfId="3" applyNumberFormat="1" applyFont="1" applyFill="1" applyBorder="1" applyAlignment="1">
      <alignment vertical="center" wrapText="1"/>
    </xf>
    <xf numFmtId="168" fontId="4" fillId="0" borderId="4" xfId="3" applyNumberFormat="1" applyFont="1" applyFill="1" applyBorder="1" applyAlignment="1">
      <alignment vertical="center" wrapText="1"/>
    </xf>
    <xf numFmtId="43" fontId="4" fillId="0" borderId="2" xfId="3" applyNumberFormat="1" applyFont="1" applyFill="1" applyBorder="1" applyAlignment="1">
      <alignment vertical="center" wrapText="1"/>
    </xf>
    <xf numFmtId="166" fontId="4" fillId="0" borderId="4" xfId="3" applyNumberFormat="1" applyFont="1" applyFill="1" applyBorder="1" applyAlignment="1">
      <alignment vertical="center" wrapText="1"/>
    </xf>
    <xf numFmtId="168" fontId="4" fillId="0" borderId="4" xfId="3" applyNumberFormat="1" applyFont="1" applyFill="1" applyBorder="1" applyAlignment="1">
      <alignment horizontal="right" vertical="center" wrapText="1"/>
    </xf>
    <xf numFmtId="166" fontId="4" fillId="0" borderId="4" xfId="3" applyNumberFormat="1" applyFont="1" applyFill="1" applyBorder="1" applyAlignment="1">
      <alignment horizontal="right" vertical="center" wrapText="1"/>
    </xf>
    <xf numFmtId="168" fontId="4" fillId="0" borderId="2" xfId="3" applyNumberFormat="1" applyFont="1" applyFill="1" applyBorder="1" applyAlignment="1">
      <alignment horizontal="right" vertical="center" wrapText="1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0" fontId="5" fillId="2" borderId="0" xfId="5" applyFont="1" applyFill="1" applyAlignment="1">
      <alignment horizontal="center"/>
    </xf>
    <xf numFmtId="0" fontId="5" fillId="0" borderId="0" xfId="5" applyFont="1" applyFill="1" applyAlignment="1">
      <alignment horizontal="center"/>
    </xf>
    <xf numFmtId="0" fontId="4" fillId="2" borderId="4" xfId="5" applyFont="1" applyFill="1" applyBorder="1" applyAlignment="1">
      <alignment horizontal="left" vertical="center" wrapText="1"/>
    </xf>
    <xf numFmtId="0" fontId="5" fillId="2" borderId="0" xfId="5" applyFont="1" applyFill="1" applyAlignment="1">
      <alignment horizontal="center"/>
    </xf>
    <xf numFmtId="0" fontId="10" fillId="2" borderId="9" xfId="5" applyFont="1" applyFill="1" applyBorder="1" applyAlignment="1">
      <alignment horizontal="center" vertical="center" wrapText="1"/>
    </xf>
    <xf numFmtId="0" fontId="10" fillId="2" borderId="6" xfId="5" applyFont="1" applyFill="1" applyBorder="1" applyAlignment="1">
      <alignment horizontal="center" vertical="center" wrapText="1"/>
    </xf>
    <xf numFmtId="0" fontId="8" fillId="0" borderId="10" xfId="5" applyFont="1" applyFill="1" applyBorder="1" applyAlignment="1">
      <alignment horizontal="center" vertical="center" wrapText="1"/>
    </xf>
    <xf numFmtId="0" fontId="8" fillId="0" borderId="11" xfId="5" applyFont="1" applyFill="1" applyBorder="1" applyAlignment="1">
      <alignment horizontal="center" vertical="center" wrapText="1"/>
    </xf>
    <xf numFmtId="0" fontId="8" fillId="0" borderId="12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 wrapText="1"/>
    </xf>
    <xf numFmtId="0" fontId="10" fillId="0" borderId="6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/>
    </xf>
    <xf numFmtId="0" fontId="5" fillId="0" borderId="0" xfId="5" applyFont="1" applyFill="1" applyAlignment="1">
      <alignment horizontal="center"/>
    </xf>
    <xf numFmtId="0" fontId="12" fillId="0" borderId="0" xfId="5" applyFont="1" applyFill="1" applyAlignment="1">
      <alignment horizontal="center"/>
    </xf>
    <xf numFmtId="0" fontId="4" fillId="2" borderId="0" xfId="5" applyFont="1" applyFill="1" applyAlignment="1">
      <alignment horizontal="center"/>
    </xf>
    <xf numFmtId="0" fontId="11" fillId="2" borderId="0" xfId="5" applyFont="1" applyFill="1" applyAlignment="1">
      <alignment horizontal="center"/>
    </xf>
  </cellXfs>
  <cellStyles count="9">
    <cellStyle name="Comma" xfId="1" builtinId="3"/>
    <cellStyle name="Comma 2" xfId="2"/>
    <cellStyle name="Comma 3" xfId="3"/>
    <cellStyle name="Normal" xfId="0" builtinId="0"/>
    <cellStyle name="Normal 2" xfId="4"/>
    <cellStyle name="Normal 3" xfId="5"/>
    <cellStyle name="Normal 5" xfId="6"/>
    <cellStyle name="Normal_Ke can Cap pho -PTTH" xfId="7"/>
    <cellStyle name="Percent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"/>
  <sheetViews>
    <sheetView workbookViewId="0">
      <pane ySplit="9" topLeftCell="A10" activePane="bottomLeft" state="frozen"/>
      <selection pane="bottomLeft" activeCell="V20" sqref="V20"/>
    </sheetView>
  </sheetViews>
  <sheetFormatPr defaultRowHeight="15" x14ac:dyDescent="0.25"/>
  <cols>
    <col min="1" max="1" width="6.5703125" customWidth="1"/>
    <col min="2" max="2" width="23" customWidth="1"/>
    <col min="3" max="9" width="9.140625" hidden="1" customWidth="1"/>
    <col min="10" max="10" width="10.7109375" hidden="1" customWidth="1"/>
    <col min="11" max="11" width="13.140625" hidden="1" customWidth="1"/>
    <col min="12" max="12" width="9.140625" hidden="1" customWidth="1"/>
    <col min="13" max="13" width="10" hidden="1" customWidth="1"/>
    <col min="14" max="17" width="9.140625" hidden="1" customWidth="1"/>
    <col min="18" max="18" width="11.5703125" hidden="1" customWidth="1"/>
    <col min="19" max="19" width="10.5703125" hidden="1" customWidth="1"/>
    <col min="20" max="20" width="15" hidden="1" customWidth="1"/>
    <col min="21" max="21" width="12.7109375" customWidth="1"/>
    <col min="24" max="24" width="9" customWidth="1"/>
    <col min="25" max="25" width="9.5703125" bestFit="1" customWidth="1"/>
    <col min="29" max="29" width="9.5703125" bestFit="1" customWidth="1"/>
    <col min="30" max="30" width="15.42578125" bestFit="1" customWidth="1"/>
    <col min="31" max="31" width="10.5703125" customWidth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43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.75" x14ac:dyDescent="0.25">
      <c r="A6" s="2"/>
      <c r="B6" s="54">
        <v>1390000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45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5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36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26</v>
      </c>
      <c r="AE9" s="27" t="s">
        <v>27</v>
      </c>
    </row>
    <row r="10" spans="1:31" ht="27.75" customHeight="1" x14ac:dyDescent="0.25">
      <c r="A10" s="34" t="s">
        <v>28</v>
      </c>
      <c r="B10" s="32"/>
      <c r="C10" s="31"/>
      <c r="D10" s="49">
        <f t="shared" ref="D10:AD10" si="0">D11+D15</f>
        <v>10.860000000000001</v>
      </c>
      <c r="E10" s="49">
        <f t="shared" si="0"/>
        <v>0</v>
      </c>
      <c r="F10" s="49">
        <f t="shared" si="0"/>
        <v>0.35</v>
      </c>
      <c r="G10" s="50">
        <f t="shared" si="0"/>
        <v>1.4984999999999999</v>
      </c>
      <c r="H10" s="49">
        <f t="shared" si="0"/>
        <v>0</v>
      </c>
      <c r="I10" s="50">
        <f t="shared" si="0"/>
        <v>2.2475000000000001</v>
      </c>
      <c r="J10" s="50">
        <f t="shared" si="0"/>
        <v>14.956000000000001</v>
      </c>
      <c r="K10" s="62">
        <f t="shared" si="0"/>
        <v>20788840</v>
      </c>
      <c r="L10" s="49">
        <f t="shared" si="0"/>
        <v>0</v>
      </c>
      <c r="M10" s="49">
        <f t="shared" si="0"/>
        <v>19.350000000000001</v>
      </c>
      <c r="N10" s="50">
        <f t="shared" si="0"/>
        <v>0.59760000000000002</v>
      </c>
      <c r="O10" s="49">
        <f t="shared" si="0"/>
        <v>0.35</v>
      </c>
      <c r="P10" s="50">
        <f t="shared" si="0"/>
        <v>3.6729319999999999</v>
      </c>
      <c r="Q10" s="49">
        <f t="shared" si="0"/>
        <v>0</v>
      </c>
      <c r="R10" s="50">
        <f t="shared" si="0"/>
        <v>3.08</v>
      </c>
      <c r="S10" s="50">
        <f t="shared" si="0"/>
        <v>27.050532000000004</v>
      </c>
      <c r="T10" s="62">
        <f t="shared" si="0"/>
        <v>37600239.480000004</v>
      </c>
      <c r="U10" s="49">
        <f t="shared" si="0"/>
        <v>0</v>
      </c>
      <c r="V10" s="49">
        <f t="shared" si="0"/>
        <v>8.49</v>
      </c>
      <c r="W10" s="50">
        <f t="shared" si="0"/>
        <v>0.59760000000000002</v>
      </c>
      <c r="X10" s="49">
        <f t="shared" si="0"/>
        <v>0</v>
      </c>
      <c r="Y10" s="50">
        <f t="shared" si="0"/>
        <v>2.1744319999999999</v>
      </c>
      <c r="Z10" s="49">
        <f t="shared" si="0"/>
        <v>0</v>
      </c>
      <c r="AA10" s="49">
        <f t="shared" si="0"/>
        <v>0</v>
      </c>
      <c r="AB10" s="49">
        <f t="shared" si="0"/>
        <v>0</v>
      </c>
      <c r="AC10" s="50">
        <f t="shared" si="0"/>
        <v>11.262032</v>
      </c>
      <c r="AD10" s="62">
        <f t="shared" si="0"/>
        <v>15654224.48</v>
      </c>
      <c r="AE10" s="31"/>
    </row>
    <row r="11" spans="1:31" ht="25.5" customHeight="1" x14ac:dyDescent="0.25">
      <c r="A11" s="51"/>
      <c r="B11" s="52" t="s">
        <v>29</v>
      </c>
      <c r="C11" s="51"/>
      <c r="D11" s="53">
        <f>SUM(D12:D14)</f>
        <v>8.64</v>
      </c>
      <c r="E11" s="53">
        <f t="shared" ref="E11:AD11" si="1">SUM(E12:E14)</f>
        <v>0</v>
      </c>
      <c r="F11" s="53">
        <f t="shared" si="1"/>
        <v>0.35</v>
      </c>
      <c r="G11" s="61">
        <f t="shared" si="1"/>
        <v>1.4984999999999999</v>
      </c>
      <c r="H11" s="53">
        <f t="shared" si="1"/>
        <v>0</v>
      </c>
      <c r="I11" s="61">
        <f t="shared" si="1"/>
        <v>2.2475000000000001</v>
      </c>
      <c r="J11" s="61">
        <f t="shared" si="1"/>
        <v>12.736000000000001</v>
      </c>
      <c r="K11" s="121">
        <f t="shared" si="1"/>
        <v>17703040</v>
      </c>
      <c r="L11" s="53">
        <f t="shared" si="1"/>
        <v>0</v>
      </c>
      <c r="M11" s="53">
        <f t="shared" si="1"/>
        <v>13.620000000000001</v>
      </c>
      <c r="N11" s="61">
        <f t="shared" si="1"/>
        <v>0.59760000000000002</v>
      </c>
      <c r="O11" s="53">
        <f t="shared" si="1"/>
        <v>0.35</v>
      </c>
      <c r="P11" s="61">
        <f t="shared" si="1"/>
        <v>3.3732319999999998</v>
      </c>
      <c r="Q11" s="53">
        <f t="shared" si="1"/>
        <v>0</v>
      </c>
      <c r="R11" s="61">
        <f t="shared" si="1"/>
        <v>2.2475000000000001</v>
      </c>
      <c r="S11" s="61">
        <f t="shared" si="1"/>
        <v>20.188332000000003</v>
      </c>
      <c r="T11" s="121">
        <f t="shared" si="1"/>
        <v>28061781.48</v>
      </c>
      <c r="U11" s="53">
        <f t="shared" si="1"/>
        <v>0</v>
      </c>
      <c r="V11" s="53">
        <f t="shared" si="1"/>
        <v>4.9800000000000004</v>
      </c>
      <c r="W11" s="61">
        <f t="shared" si="1"/>
        <v>0.59760000000000002</v>
      </c>
      <c r="X11" s="53">
        <f t="shared" si="1"/>
        <v>0</v>
      </c>
      <c r="Y11" s="61">
        <f t="shared" si="1"/>
        <v>1.8747320000000001</v>
      </c>
      <c r="Z11" s="53">
        <f t="shared" si="1"/>
        <v>0</v>
      </c>
      <c r="AA11" s="53">
        <f t="shared" si="1"/>
        <v>0</v>
      </c>
      <c r="AB11" s="53">
        <f t="shared" si="1"/>
        <v>0</v>
      </c>
      <c r="AC11" s="61">
        <f t="shared" si="1"/>
        <v>7.4523320000000002</v>
      </c>
      <c r="AD11" s="121">
        <f t="shared" si="1"/>
        <v>10358741.48</v>
      </c>
      <c r="AE11" s="51"/>
    </row>
    <row r="12" spans="1:31" ht="32.25" customHeight="1" x14ac:dyDescent="0.25">
      <c r="A12" s="96">
        <v>1</v>
      </c>
      <c r="B12" s="97" t="s">
        <v>46</v>
      </c>
      <c r="C12" s="96"/>
      <c r="D12" s="98">
        <v>4.6500000000000004</v>
      </c>
      <c r="E12" s="98"/>
      <c r="F12" s="98">
        <v>0.35</v>
      </c>
      <c r="G12" s="99">
        <f>(D12+E12+F12)*18/100</f>
        <v>0.9</v>
      </c>
      <c r="H12" s="98"/>
      <c r="I12" s="99">
        <f>(D12+E12+F12)*25/100</f>
        <v>1.25</v>
      </c>
      <c r="J12" s="99">
        <f>SUM(D12:I12)</f>
        <v>7.15</v>
      </c>
      <c r="K12" s="100">
        <f>J12*$B$6</f>
        <v>9938500</v>
      </c>
      <c r="L12" s="98"/>
      <c r="M12" s="98">
        <v>4.6500000000000004</v>
      </c>
      <c r="N12" s="98"/>
      <c r="O12" s="98">
        <v>0.35</v>
      </c>
      <c r="P12" s="99">
        <f>(M12+N12+O12)*19/100</f>
        <v>0.95</v>
      </c>
      <c r="Q12" s="98"/>
      <c r="R12" s="99">
        <f>(M12+N12+O12)*25/100</f>
        <v>1.25</v>
      </c>
      <c r="S12" s="99">
        <f>SUM(M12:R12)</f>
        <v>7.2</v>
      </c>
      <c r="T12" s="100">
        <f>S12*$B$6</f>
        <v>10008000</v>
      </c>
      <c r="U12" s="98" t="s">
        <v>31</v>
      </c>
      <c r="V12" s="98"/>
      <c r="W12" s="99">
        <v>0</v>
      </c>
      <c r="X12" s="98"/>
      <c r="Y12" s="99">
        <f>P12-G12</f>
        <v>4.9999999999999933E-2</v>
      </c>
      <c r="Z12" s="98"/>
      <c r="AA12" s="98"/>
      <c r="AB12" s="98">
        <v>0</v>
      </c>
      <c r="AC12" s="99">
        <f>SUM(V12:AB12)</f>
        <v>4.9999999999999933E-2</v>
      </c>
      <c r="AD12" s="100">
        <f>AC12*$B$6</f>
        <v>69499.999999999913</v>
      </c>
      <c r="AE12" s="84" t="s">
        <v>47</v>
      </c>
    </row>
    <row r="13" spans="1:31" s="1" customFormat="1" ht="32.25" customHeight="1" x14ac:dyDescent="0.25">
      <c r="A13" s="124">
        <v>2</v>
      </c>
      <c r="B13" s="125" t="s">
        <v>32</v>
      </c>
      <c r="C13" s="125"/>
      <c r="D13" s="126">
        <v>0</v>
      </c>
      <c r="E13" s="127">
        <f>D13*12/100</f>
        <v>0</v>
      </c>
      <c r="F13" s="127"/>
      <c r="G13" s="127">
        <f>(D13+E13+F13)*32/100</f>
        <v>0</v>
      </c>
      <c r="H13" s="127"/>
      <c r="I13" s="127">
        <f>(D13+E13+F13)*25/100</f>
        <v>0</v>
      </c>
      <c r="J13" s="127">
        <f>SUM(D13:I13)</f>
        <v>0</v>
      </c>
      <c r="K13" s="128">
        <f>J13*$B$6</f>
        <v>0</v>
      </c>
      <c r="L13" s="127"/>
      <c r="M13" s="129">
        <v>4.9800000000000004</v>
      </c>
      <c r="N13" s="127">
        <f>M13*12/100</f>
        <v>0.59760000000000002</v>
      </c>
      <c r="O13" s="127"/>
      <c r="P13" s="127">
        <f>(M13+N13+O13)*32/100</f>
        <v>1.7848320000000002</v>
      </c>
      <c r="Q13" s="127"/>
      <c r="R13" s="127"/>
      <c r="S13" s="130">
        <f>SUM(M13:R13)</f>
        <v>7.3624320000000001</v>
      </c>
      <c r="T13" s="131">
        <f>S13*$B$6</f>
        <v>10233780.48</v>
      </c>
      <c r="U13" s="132" t="s">
        <v>34</v>
      </c>
      <c r="V13" s="133">
        <f>M13</f>
        <v>4.9800000000000004</v>
      </c>
      <c r="W13" s="133">
        <f>N13</f>
        <v>0.59760000000000002</v>
      </c>
      <c r="X13" s="133"/>
      <c r="Y13" s="133">
        <f>P13</f>
        <v>1.7848320000000002</v>
      </c>
      <c r="Z13" s="133"/>
      <c r="AA13" s="133"/>
      <c r="AB13" s="133"/>
      <c r="AC13" s="133">
        <f>SUM(V13:AB13)</f>
        <v>7.3624320000000001</v>
      </c>
      <c r="AD13" s="134">
        <f>AC13*$B$6</f>
        <v>10233780.48</v>
      </c>
      <c r="AE13" s="135" t="s">
        <v>56</v>
      </c>
    </row>
    <row r="14" spans="1:31" ht="32.25" customHeight="1" x14ac:dyDescent="0.25">
      <c r="A14" s="102">
        <v>3</v>
      </c>
      <c r="B14" s="136" t="s">
        <v>48</v>
      </c>
      <c r="C14" s="102"/>
      <c r="D14" s="137">
        <v>3.99</v>
      </c>
      <c r="E14" s="137"/>
      <c r="F14" s="137"/>
      <c r="G14" s="138">
        <f>(D14+E14+F14)*15/100</f>
        <v>0.59850000000000003</v>
      </c>
      <c r="H14" s="137"/>
      <c r="I14" s="138">
        <f>(D14+E14+F14)*25/100</f>
        <v>0.99750000000000005</v>
      </c>
      <c r="J14" s="138">
        <f t="shared" ref="J14" si="2">SUM(D14:I14)</f>
        <v>5.5860000000000003</v>
      </c>
      <c r="K14" s="139">
        <f t="shared" ref="K14" si="3">J14*$B$6</f>
        <v>7764540</v>
      </c>
      <c r="L14" s="137"/>
      <c r="M14" s="137">
        <v>3.99</v>
      </c>
      <c r="N14" s="137"/>
      <c r="O14" s="137"/>
      <c r="P14" s="138">
        <f>(M14+N14+O14)*16/100</f>
        <v>0.63840000000000008</v>
      </c>
      <c r="Q14" s="137"/>
      <c r="R14" s="138">
        <f t="shared" ref="R14" si="4">(M14+N14+O14)*25/100</f>
        <v>0.99750000000000005</v>
      </c>
      <c r="S14" s="138">
        <f t="shared" ref="S14" si="5">SUM(M14:R14)</f>
        <v>5.6258999999999997</v>
      </c>
      <c r="T14" s="139">
        <f t="shared" ref="T14" si="6">S14*$B$6</f>
        <v>7820001</v>
      </c>
      <c r="U14" s="137" t="s">
        <v>31</v>
      </c>
      <c r="V14" s="137">
        <v>0</v>
      </c>
      <c r="W14" s="137"/>
      <c r="X14" s="137"/>
      <c r="Y14" s="138">
        <f t="shared" ref="Y14" si="7">P14-G14</f>
        <v>3.9900000000000047E-2</v>
      </c>
      <c r="Z14" s="137"/>
      <c r="AA14" s="137"/>
      <c r="AB14" s="137">
        <v>0</v>
      </c>
      <c r="AC14" s="138">
        <f t="shared" ref="AC14" si="8">SUM(V14:AB14)</f>
        <v>3.9900000000000047E-2</v>
      </c>
      <c r="AD14" s="139">
        <f t="shared" ref="AD14" si="9">AC14*$B$6</f>
        <v>55461.000000000065</v>
      </c>
      <c r="AE14" s="140" t="s">
        <v>49</v>
      </c>
    </row>
    <row r="15" spans="1:31" ht="64.5" customHeight="1" x14ac:dyDescent="0.25">
      <c r="A15" s="102"/>
      <c r="B15" s="92" t="s">
        <v>33</v>
      </c>
      <c r="C15" s="69"/>
      <c r="D15" s="106">
        <f t="shared" ref="D15:T15" si="10">SUM(D16:D17)</f>
        <v>2.2200000000000002</v>
      </c>
      <c r="E15" s="106">
        <f t="shared" si="10"/>
        <v>0</v>
      </c>
      <c r="F15" s="106">
        <f t="shared" si="10"/>
        <v>0</v>
      </c>
      <c r="G15" s="106">
        <f t="shared" si="10"/>
        <v>0</v>
      </c>
      <c r="H15" s="106">
        <f t="shared" si="10"/>
        <v>0</v>
      </c>
      <c r="I15" s="106">
        <f t="shared" si="10"/>
        <v>0</v>
      </c>
      <c r="J15" s="106">
        <f t="shared" si="10"/>
        <v>2.2200000000000002</v>
      </c>
      <c r="K15" s="70">
        <f t="shared" si="10"/>
        <v>3085800.0000000005</v>
      </c>
      <c r="L15" s="106">
        <f t="shared" si="10"/>
        <v>0</v>
      </c>
      <c r="M15" s="106">
        <f t="shared" si="10"/>
        <v>5.73</v>
      </c>
      <c r="N15" s="71">
        <f t="shared" si="10"/>
        <v>0</v>
      </c>
      <c r="O15" s="106">
        <f t="shared" si="10"/>
        <v>0</v>
      </c>
      <c r="P15" s="71">
        <f t="shared" si="10"/>
        <v>0.29969999999999997</v>
      </c>
      <c r="Q15" s="106">
        <f t="shared" si="10"/>
        <v>0</v>
      </c>
      <c r="R15" s="71">
        <f t="shared" si="10"/>
        <v>0.83250000000000002</v>
      </c>
      <c r="S15" s="71">
        <f t="shared" si="10"/>
        <v>6.8621999999999996</v>
      </c>
      <c r="T15" s="70">
        <f t="shared" si="10"/>
        <v>9538458</v>
      </c>
      <c r="U15" s="106">
        <f t="shared" ref="U15" si="11">SUM(U16:U17)</f>
        <v>0</v>
      </c>
      <c r="V15" s="71">
        <f t="shared" ref="V15:AD15" si="12">SUM(V16:V17)</f>
        <v>3.51</v>
      </c>
      <c r="W15" s="71">
        <f t="shared" si="12"/>
        <v>0</v>
      </c>
      <c r="X15" s="106">
        <f t="shared" si="12"/>
        <v>0</v>
      </c>
      <c r="Y15" s="71">
        <f t="shared" si="12"/>
        <v>0.29969999999999997</v>
      </c>
      <c r="Z15" s="106">
        <f t="shared" si="12"/>
        <v>0</v>
      </c>
      <c r="AA15" s="106">
        <f t="shared" si="12"/>
        <v>0</v>
      </c>
      <c r="AB15" s="106">
        <f t="shared" si="12"/>
        <v>0</v>
      </c>
      <c r="AC15" s="71">
        <f t="shared" si="12"/>
        <v>3.8096999999999999</v>
      </c>
      <c r="AD15" s="70">
        <f t="shared" si="12"/>
        <v>5295483</v>
      </c>
      <c r="AE15" s="106">
        <v>0</v>
      </c>
    </row>
    <row r="16" spans="1:31" ht="30.75" customHeight="1" x14ac:dyDescent="0.25">
      <c r="A16" s="96">
        <v>1</v>
      </c>
      <c r="B16" s="77" t="s">
        <v>50</v>
      </c>
      <c r="C16" s="79"/>
      <c r="D16" s="35">
        <v>0</v>
      </c>
      <c r="E16" s="80"/>
      <c r="F16" s="80">
        <v>0</v>
      </c>
      <c r="G16" s="80">
        <v>0</v>
      </c>
      <c r="H16" s="81"/>
      <c r="I16" s="80">
        <v>0</v>
      </c>
      <c r="J16" s="80">
        <v>0</v>
      </c>
      <c r="K16" s="76">
        <v>0</v>
      </c>
      <c r="L16" s="82"/>
      <c r="M16" s="88">
        <v>3.33</v>
      </c>
      <c r="N16" s="80"/>
      <c r="O16" s="80">
        <v>0</v>
      </c>
      <c r="P16" s="80">
        <f>(M16+N16+O16)*9/100</f>
        <v>0.29969999999999997</v>
      </c>
      <c r="Q16" s="81"/>
      <c r="R16" s="80">
        <f>(M16+N16+O16)*25/100</f>
        <v>0.83250000000000002</v>
      </c>
      <c r="S16" s="64">
        <f>SUM(M16:R16)</f>
        <v>4.4622000000000002</v>
      </c>
      <c r="T16" s="83">
        <f>S16*$B$6</f>
        <v>6202458</v>
      </c>
      <c r="U16" s="60" t="s">
        <v>34</v>
      </c>
      <c r="V16" s="85">
        <f>M16</f>
        <v>3.33</v>
      </c>
      <c r="W16" s="85"/>
      <c r="X16" s="85"/>
      <c r="Y16" s="85">
        <f>P16</f>
        <v>0.29969999999999997</v>
      </c>
      <c r="Z16" s="85"/>
      <c r="AA16" s="85"/>
      <c r="AB16" s="85">
        <v>0</v>
      </c>
      <c r="AC16" s="85">
        <f>SUM(V16:AB16)</f>
        <v>3.6297000000000001</v>
      </c>
      <c r="AD16" s="86">
        <f>AC16*$B$6</f>
        <v>5045283</v>
      </c>
      <c r="AE16" s="84" t="s">
        <v>51</v>
      </c>
    </row>
    <row r="17" spans="1:31" ht="30.75" customHeight="1" x14ac:dyDescent="0.25">
      <c r="A17" s="96">
        <v>2</v>
      </c>
      <c r="B17" s="77" t="s">
        <v>52</v>
      </c>
      <c r="C17" s="79"/>
      <c r="D17" s="35">
        <v>2.2200000000000002</v>
      </c>
      <c r="E17" s="80"/>
      <c r="F17" s="80"/>
      <c r="G17" s="80"/>
      <c r="H17" s="81"/>
      <c r="I17" s="80"/>
      <c r="J17" s="80">
        <f>SUM(D17:I17)</f>
        <v>2.2200000000000002</v>
      </c>
      <c r="K17" s="76">
        <f>J17*$B$6</f>
        <v>3085800.0000000005</v>
      </c>
      <c r="L17" s="82"/>
      <c r="M17" s="88">
        <v>2.4</v>
      </c>
      <c r="N17" s="80"/>
      <c r="O17" s="80"/>
      <c r="P17" s="80"/>
      <c r="Q17" s="81"/>
      <c r="R17" s="80"/>
      <c r="S17" s="64">
        <f>SUM(M17:R17)</f>
        <v>2.4</v>
      </c>
      <c r="T17" s="83">
        <f>S17*$B$6</f>
        <v>3336000</v>
      </c>
      <c r="U17" s="60" t="s">
        <v>35</v>
      </c>
      <c r="V17" s="85">
        <f>M17-D17</f>
        <v>0.17999999999999972</v>
      </c>
      <c r="W17" s="85"/>
      <c r="X17" s="85"/>
      <c r="Y17" s="85"/>
      <c r="Z17" s="85"/>
      <c r="AA17" s="85"/>
      <c r="AB17" s="85">
        <v>0</v>
      </c>
      <c r="AC17" s="85">
        <f>SUM(V17:AB17)</f>
        <v>0.17999999999999972</v>
      </c>
      <c r="AD17" s="86">
        <f>AC17*$B$6</f>
        <v>250199.99999999959</v>
      </c>
      <c r="AE17" s="84" t="s">
        <v>53</v>
      </c>
    </row>
    <row r="18" spans="1:31" ht="26.25" customHeight="1" x14ac:dyDescent="0.25">
      <c r="A18" s="34" t="s">
        <v>36</v>
      </c>
      <c r="B18" s="66"/>
      <c r="C18" s="63"/>
      <c r="D18" s="73">
        <f t="shared" ref="D18:AD18" si="13">D19+D21</f>
        <v>4.9800000000000004</v>
      </c>
      <c r="E18" s="68">
        <f t="shared" si="13"/>
        <v>0.69720000000000004</v>
      </c>
      <c r="F18" s="73">
        <f t="shared" si="13"/>
        <v>0.7</v>
      </c>
      <c r="G18" s="68">
        <f t="shared" si="13"/>
        <v>1.9769320000000006</v>
      </c>
      <c r="H18" s="73">
        <f t="shared" si="13"/>
        <v>0</v>
      </c>
      <c r="I18" s="68">
        <f t="shared" si="13"/>
        <v>1.5943000000000003</v>
      </c>
      <c r="J18" s="68">
        <f t="shared" si="13"/>
        <v>9.9484320000000022</v>
      </c>
      <c r="K18" s="67">
        <f t="shared" si="13"/>
        <v>13828320.480000002</v>
      </c>
      <c r="L18" s="73">
        <f t="shared" si="13"/>
        <v>0</v>
      </c>
      <c r="M18" s="73">
        <f t="shared" si="13"/>
        <v>0</v>
      </c>
      <c r="N18" s="73">
        <f t="shared" si="13"/>
        <v>0</v>
      </c>
      <c r="O18" s="73">
        <f t="shared" si="13"/>
        <v>0</v>
      </c>
      <c r="P18" s="73">
        <f t="shared" si="13"/>
        <v>0</v>
      </c>
      <c r="Q18" s="73">
        <f t="shared" si="13"/>
        <v>0</v>
      </c>
      <c r="R18" s="73">
        <f t="shared" si="13"/>
        <v>0</v>
      </c>
      <c r="S18" s="73">
        <f t="shared" si="13"/>
        <v>0</v>
      </c>
      <c r="T18" s="73">
        <f t="shared" si="13"/>
        <v>0</v>
      </c>
      <c r="U18" s="73">
        <f t="shared" si="13"/>
        <v>0</v>
      </c>
      <c r="V18" s="73">
        <f t="shared" si="13"/>
        <v>4.9800000000000004</v>
      </c>
      <c r="W18" s="68">
        <f t="shared" si="13"/>
        <v>0.69720000000000004</v>
      </c>
      <c r="X18" s="73">
        <f t="shared" si="13"/>
        <v>0.7</v>
      </c>
      <c r="Y18" s="68">
        <f t="shared" si="13"/>
        <v>1.9769320000000006</v>
      </c>
      <c r="Z18" s="73">
        <f t="shared" si="13"/>
        <v>0</v>
      </c>
      <c r="AA18" s="73">
        <f t="shared" si="13"/>
        <v>0</v>
      </c>
      <c r="AB18" s="68">
        <f t="shared" si="13"/>
        <v>1.5943000000000003</v>
      </c>
      <c r="AC18" s="68">
        <f t="shared" si="13"/>
        <v>9.9484320000000022</v>
      </c>
      <c r="AD18" s="67">
        <f t="shared" si="13"/>
        <v>13828320.480000002</v>
      </c>
      <c r="AE18" s="72"/>
    </row>
    <row r="19" spans="1:31" ht="26.25" customHeight="1" x14ac:dyDescent="0.25">
      <c r="A19" s="59"/>
      <c r="B19" s="65" t="s">
        <v>29</v>
      </c>
      <c r="C19" s="60"/>
      <c r="D19" s="74">
        <f t="shared" ref="D19:AD19" si="14">SUM(D20:D20)</f>
        <v>4.9800000000000004</v>
      </c>
      <c r="E19" s="78">
        <f t="shared" si="14"/>
        <v>0.69720000000000004</v>
      </c>
      <c r="F19" s="74">
        <f t="shared" si="14"/>
        <v>0.7</v>
      </c>
      <c r="G19" s="78">
        <f t="shared" si="14"/>
        <v>1.9769320000000006</v>
      </c>
      <c r="H19" s="74">
        <f t="shared" si="14"/>
        <v>0</v>
      </c>
      <c r="I19" s="78">
        <f t="shared" si="14"/>
        <v>1.5943000000000003</v>
      </c>
      <c r="J19" s="78">
        <f t="shared" si="14"/>
        <v>9.9484320000000022</v>
      </c>
      <c r="K19" s="75">
        <f t="shared" si="14"/>
        <v>13828320.480000002</v>
      </c>
      <c r="L19" s="74">
        <f t="shared" si="14"/>
        <v>0</v>
      </c>
      <c r="M19" s="74">
        <f t="shared" si="14"/>
        <v>0</v>
      </c>
      <c r="N19" s="74">
        <f t="shared" si="14"/>
        <v>0</v>
      </c>
      <c r="O19" s="74">
        <f t="shared" si="14"/>
        <v>0</v>
      </c>
      <c r="P19" s="74">
        <f t="shared" si="14"/>
        <v>0</v>
      </c>
      <c r="Q19" s="74">
        <f t="shared" si="14"/>
        <v>0</v>
      </c>
      <c r="R19" s="74">
        <f t="shared" si="14"/>
        <v>0</v>
      </c>
      <c r="S19" s="74">
        <f t="shared" si="14"/>
        <v>0</v>
      </c>
      <c r="T19" s="74">
        <f t="shared" si="14"/>
        <v>0</v>
      </c>
      <c r="U19" s="74">
        <f t="shared" si="14"/>
        <v>0</v>
      </c>
      <c r="V19" s="74">
        <f t="shared" si="14"/>
        <v>4.9800000000000004</v>
      </c>
      <c r="W19" s="78">
        <f t="shared" si="14"/>
        <v>0.69720000000000004</v>
      </c>
      <c r="X19" s="74">
        <f t="shared" si="14"/>
        <v>0.7</v>
      </c>
      <c r="Y19" s="78">
        <f t="shared" si="14"/>
        <v>1.9769320000000006</v>
      </c>
      <c r="Z19" s="74">
        <f t="shared" si="14"/>
        <v>0</v>
      </c>
      <c r="AA19" s="74">
        <f t="shared" si="14"/>
        <v>0</v>
      </c>
      <c r="AB19" s="78">
        <f t="shared" si="14"/>
        <v>1.5943000000000003</v>
      </c>
      <c r="AC19" s="78">
        <f t="shared" si="14"/>
        <v>9.9484320000000022</v>
      </c>
      <c r="AD19" s="75">
        <f t="shared" si="14"/>
        <v>13828320.480000002</v>
      </c>
      <c r="AE19" s="101"/>
    </row>
    <row r="20" spans="1:31" s="1" customFormat="1" ht="36.75" customHeight="1" x14ac:dyDescent="0.25">
      <c r="A20" s="110">
        <v>1</v>
      </c>
      <c r="B20" s="112" t="s">
        <v>30</v>
      </c>
      <c r="C20" s="112"/>
      <c r="D20" s="113">
        <v>4.9800000000000004</v>
      </c>
      <c r="E20" s="114">
        <f>D20*14/100</f>
        <v>0.69720000000000004</v>
      </c>
      <c r="F20" s="114">
        <v>0.7</v>
      </c>
      <c r="G20" s="114">
        <f>(D20+E20+F20)*31/100</f>
        <v>1.9769320000000006</v>
      </c>
      <c r="H20" s="114"/>
      <c r="I20" s="114">
        <f>(D20+E20+F20)*25/100</f>
        <v>1.5943000000000003</v>
      </c>
      <c r="J20" s="114">
        <f>SUM(D20:I20)</f>
        <v>9.9484320000000022</v>
      </c>
      <c r="K20" s="115">
        <f>J20*$B$6</f>
        <v>13828320.480000002</v>
      </c>
      <c r="L20" s="114"/>
      <c r="M20" s="116"/>
      <c r="N20" s="114"/>
      <c r="O20" s="114"/>
      <c r="P20" s="114"/>
      <c r="Q20" s="114"/>
      <c r="R20" s="114"/>
      <c r="S20" s="117"/>
      <c r="T20" s="115"/>
      <c r="U20" s="63" t="s">
        <v>34</v>
      </c>
      <c r="V20" s="118">
        <f>D20</f>
        <v>4.9800000000000004</v>
      </c>
      <c r="W20" s="118">
        <f>E20</f>
        <v>0.69720000000000004</v>
      </c>
      <c r="X20" s="118">
        <f>F20</f>
        <v>0.7</v>
      </c>
      <c r="Y20" s="118">
        <f>G20</f>
        <v>1.9769320000000006</v>
      </c>
      <c r="Z20" s="118"/>
      <c r="AA20" s="118"/>
      <c r="AB20" s="118">
        <f>I20</f>
        <v>1.5943000000000003</v>
      </c>
      <c r="AC20" s="118">
        <f>SUM(V20:AB20)</f>
        <v>9.9484320000000022</v>
      </c>
      <c r="AD20" s="119">
        <f>AC20*$B$6</f>
        <v>13828320.480000002</v>
      </c>
      <c r="AE20" s="120" t="s">
        <v>54</v>
      </c>
    </row>
    <row r="21" spans="1:31" ht="62.25" customHeight="1" x14ac:dyDescent="0.25">
      <c r="A21" s="59"/>
      <c r="B21" s="87" t="s">
        <v>33</v>
      </c>
      <c r="C21" s="87"/>
      <c r="D21" s="107"/>
      <c r="E21" s="107">
        <v>0</v>
      </c>
      <c r="F21" s="107">
        <v>0</v>
      </c>
      <c r="G21" s="108">
        <v>0</v>
      </c>
      <c r="H21" s="107">
        <v>0</v>
      </c>
      <c r="I21" s="108">
        <v>0</v>
      </c>
      <c r="J21" s="108"/>
      <c r="K21" s="109"/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8">
        <v>0</v>
      </c>
      <c r="S21" s="108">
        <v>0</v>
      </c>
      <c r="T21" s="109">
        <v>0</v>
      </c>
      <c r="U21" s="107">
        <v>0</v>
      </c>
      <c r="V21" s="111"/>
      <c r="W21" s="107">
        <v>0</v>
      </c>
      <c r="X21" s="107">
        <v>0</v>
      </c>
      <c r="Y21" s="108">
        <v>0</v>
      </c>
      <c r="Z21" s="107">
        <v>0</v>
      </c>
      <c r="AA21" s="107">
        <v>0</v>
      </c>
      <c r="AB21" s="108">
        <v>0</v>
      </c>
      <c r="AC21" s="108"/>
      <c r="AD21" s="109"/>
      <c r="AE21" s="96"/>
    </row>
    <row r="22" spans="1:31" ht="18.75" hidden="1" customHeight="1" x14ac:dyDescent="0.25">
      <c r="A22" s="103"/>
      <c r="B22" s="90"/>
      <c r="C22" s="90"/>
      <c r="D22" s="93"/>
      <c r="E22" s="93"/>
      <c r="F22" s="93"/>
      <c r="G22" s="89"/>
      <c r="H22" s="94"/>
      <c r="I22" s="89"/>
      <c r="J22" s="89"/>
      <c r="K22" s="91"/>
      <c r="L22" s="93"/>
      <c r="M22" s="93"/>
      <c r="N22" s="93"/>
      <c r="O22" s="93"/>
      <c r="P22" s="93"/>
      <c r="Q22" s="94"/>
      <c r="R22" s="89"/>
      <c r="S22" s="89"/>
      <c r="T22" s="91"/>
      <c r="U22" s="105"/>
      <c r="V22" s="95"/>
      <c r="W22" s="93"/>
      <c r="X22" s="93"/>
      <c r="Y22" s="89"/>
      <c r="Z22" s="93"/>
      <c r="AA22" s="93"/>
      <c r="AB22" s="89"/>
      <c r="AC22" s="95"/>
      <c r="AD22" s="91"/>
      <c r="AE22" s="104"/>
    </row>
    <row r="23" spans="1:31" ht="15.75" x14ac:dyDescent="0.25">
      <c r="A23" s="43"/>
      <c r="B23" s="42"/>
      <c r="C23" s="8"/>
      <c r="D23" s="9"/>
      <c r="E23" s="10"/>
      <c r="F23" s="11"/>
      <c r="G23" s="22"/>
      <c r="H23" s="22"/>
      <c r="I23" s="22"/>
      <c r="J23" s="23"/>
      <c r="K23" s="24"/>
      <c r="L23" s="12"/>
      <c r="M23" s="13"/>
      <c r="N23" s="13"/>
      <c r="O23" s="7"/>
      <c r="P23" s="7"/>
      <c r="Q23" s="14"/>
      <c r="R23" s="18"/>
      <c r="S23" s="18"/>
      <c r="T23" s="18"/>
      <c r="U23" s="18"/>
      <c r="V23" s="15"/>
      <c r="W23" s="6"/>
      <c r="X23" s="33"/>
      <c r="Y23" s="44"/>
      <c r="Z23" s="44"/>
      <c r="AA23" s="44"/>
      <c r="AB23" s="44"/>
      <c r="AC23" s="44"/>
      <c r="AD23" s="44"/>
      <c r="AE23" s="18"/>
    </row>
    <row r="24" spans="1:31" ht="15.75" x14ac:dyDescent="0.25">
      <c r="A24" s="43"/>
      <c r="B24" s="42"/>
      <c r="C24" s="8"/>
      <c r="D24" s="9"/>
      <c r="E24" s="10"/>
      <c r="F24" s="11"/>
      <c r="G24" s="22"/>
      <c r="H24" s="22"/>
      <c r="I24" s="22"/>
      <c r="J24" s="23"/>
      <c r="K24" s="24"/>
      <c r="L24" s="12"/>
      <c r="M24" s="13"/>
      <c r="N24" s="13"/>
      <c r="O24" s="7"/>
      <c r="P24" s="7"/>
      <c r="Q24" s="14"/>
      <c r="R24" s="18"/>
      <c r="S24" s="18"/>
      <c r="T24" s="18"/>
      <c r="U24" s="18"/>
      <c r="V24" s="15"/>
      <c r="W24" s="6"/>
      <c r="X24" s="33"/>
      <c r="Y24" s="44"/>
      <c r="Z24" s="44"/>
      <c r="AA24" s="301" t="s">
        <v>55</v>
      </c>
      <c r="AB24" s="301"/>
      <c r="AC24" s="301"/>
      <c r="AD24" s="301"/>
      <c r="AE24" s="301"/>
    </row>
    <row r="25" spans="1:31" ht="15.75" x14ac:dyDescent="0.25">
      <c r="A25" s="43"/>
      <c r="B25" s="291" t="s">
        <v>37</v>
      </c>
      <c r="C25" s="291"/>
      <c r="D25" s="291"/>
      <c r="E25" s="291"/>
      <c r="F25" s="291"/>
      <c r="G25" s="291"/>
      <c r="H25" s="291"/>
      <c r="I25" s="291"/>
      <c r="J25" s="291"/>
      <c r="K25" s="291"/>
      <c r="L25" s="291"/>
      <c r="M25" s="291"/>
      <c r="N25" s="291"/>
      <c r="O25" s="291"/>
      <c r="P25" s="291"/>
      <c r="Q25" s="291"/>
      <c r="R25" s="291"/>
      <c r="S25" s="291"/>
      <c r="T25" s="291"/>
      <c r="U25" s="291"/>
      <c r="V25" s="3"/>
      <c r="W25" s="291" t="s">
        <v>38</v>
      </c>
      <c r="X25" s="291"/>
      <c r="Y25" s="291"/>
      <c r="Z25" s="291"/>
      <c r="AA25" s="302" t="s">
        <v>39</v>
      </c>
      <c r="AB25" s="302"/>
      <c r="AC25" s="302"/>
      <c r="AD25" s="302"/>
      <c r="AE25" s="302"/>
    </row>
    <row r="26" spans="1:31" ht="15.75" x14ac:dyDescent="0.25">
      <c r="A26" s="43"/>
      <c r="B26" s="2"/>
      <c r="C26" s="2"/>
      <c r="D26" s="2"/>
      <c r="E26" s="2"/>
      <c r="F26" s="2"/>
      <c r="G26" s="4"/>
      <c r="H26" s="4"/>
      <c r="I26" s="2"/>
      <c r="J26" s="2"/>
      <c r="K26" s="4"/>
      <c r="L26" s="2"/>
      <c r="M26" s="2"/>
      <c r="N26" s="2"/>
      <c r="O26" s="2"/>
      <c r="P26" s="2"/>
      <c r="Q26" s="2"/>
      <c r="R26" s="2"/>
      <c r="S26" s="5"/>
      <c r="T26" s="5"/>
      <c r="U26" s="5"/>
      <c r="V26" s="25"/>
      <c r="W26" s="5"/>
      <c r="X26" s="45"/>
      <c r="Y26" s="2"/>
      <c r="Z26" s="2"/>
      <c r="AA26" s="2"/>
      <c r="AB26" s="45"/>
      <c r="AC26" s="47"/>
      <c r="AD26" s="47"/>
      <c r="AE26" s="4"/>
    </row>
    <row r="27" spans="1:31" ht="15.75" x14ac:dyDescent="0.25">
      <c r="A27" s="43"/>
      <c r="B27" s="2"/>
      <c r="C27" s="2"/>
      <c r="D27" s="2"/>
      <c r="E27" s="2"/>
      <c r="F27" s="2"/>
      <c r="G27" s="4"/>
      <c r="H27" s="4"/>
      <c r="I27" s="2"/>
      <c r="J27" s="2"/>
      <c r="K27" s="4"/>
      <c r="L27" s="2"/>
      <c r="M27" s="2"/>
      <c r="N27" s="2"/>
      <c r="O27" s="2"/>
      <c r="P27" s="2"/>
      <c r="Q27" s="2"/>
      <c r="R27" s="2"/>
      <c r="S27" s="5"/>
      <c r="T27" s="25"/>
      <c r="U27" s="25"/>
      <c r="V27" s="2"/>
      <c r="W27" s="2"/>
      <c r="X27" s="2"/>
      <c r="Y27" s="48"/>
      <c r="Z27" s="2"/>
      <c r="AA27" s="2"/>
      <c r="AB27" s="2"/>
      <c r="AC27" s="41"/>
      <c r="AD27" s="41"/>
      <c r="AE27" s="3"/>
    </row>
    <row r="28" spans="1:31" ht="15.75" x14ac:dyDescent="0.25">
      <c r="A28" s="43"/>
      <c r="B28" s="2"/>
      <c r="C28" s="2"/>
      <c r="D28" s="2"/>
      <c r="E28" s="2"/>
      <c r="F28" s="2"/>
      <c r="G28" s="4"/>
      <c r="H28" s="4"/>
      <c r="I28" s="2"/>
      <c r="J28" s="2"/>
      <c r="K28" s="4"/>
      <c r="L28" s="2"/>
      <c r="M28" s="2"/>
      <c r="N28" s="2"/>
      <c r="O28" s="2"/>
      <c r="P28" s="2"/>
      <c r="Q28" s="2"/>
      <c r="R28" s="2"/>
      <c r="S28" s="2"/>
      <c r="T28" s="25"/>
      <c r="U28" s="25"/>
      <c r="V28" s="2"/>
      <c r="W28" s="2"/>
      <c r="X28" s="2"/>
      <c r="Y28" s="48"/>
      <c r="Z28" s="2"/>
      <c r="AA28" s="2"/>
      <c r="AB28" s="2"/>
      <c r="AC28" s="41"/>
      <c r="AD28" s="41"/>
      <c r="AE28" s="3"/>
    </row>
    <row r="29" spans="1:31" ht="15.75" x14ac:dyDescent="0.25">
      <c r="A29" s="43"/>
      <c r="B29" s="2"/>
      <c r="C29" s="2"/>
      <c r="D29" s="2"/>
      <c r="E29" s="2"/>
      <c r="F29" s="2"/>
      <c r="G29" s="4"/>
      <c r="H29" s="4"/>
      <c r="I29" s="2"/>
      <c r="J29" s="2"/>
      <c r="K29" s="4"/>
      <c r="L29" s="2"/>
      <c r="M29" s="2"/>
      <c r="N29" s="2"/>
      <c r="O29" s="2"/>
      <c r="P29" s="2"/>
      <c r="Q29" s="2"/>
      <c r="R29" s="2"/>
      <c r="S29" s="2"/>
      <c r="T29" s="25"/>
      <c r="U29" s="25"/>
      <c r="V29" s="2"/>
      <c r="W29" s="2"/>
      <c r="X29" s="2"/>
      <c r="Y29" s="48"/>
      <c r="Z29" s="2"/>
      <c r="AA29" s="2"/>
      <c r="AB29" s="2"/>
      <c r="AC29" s="41"/>
      <c r="AD29" s="41"/>
      <c r="AE29" s="3"/>
    </row>
    <row r="30" spans="1:31" ht="15.75" x14ac:dyDescent="0.25">
      <c r="A30" s="43"/>
      <c r="B30" s="2"/>
      <c r="C30" s="2"/>
      <c r="D30" s="2"/>
      <c r="E30" s="2"/>
      <c r="F30" s="2"/>
      <c r="G30" s="4"/>
      <c r="H30" s="4"/>
      <c r="I30" s="2"/>
      <c r="J30" s="2"/>
      <c r="K30" s="4"/>
      <c r="L30" s="2"/>
      <c r="M30" s="2"/>
      <c r="N30" s="2"/>
      <c r="O30" s="2"/>
      <c r="P30" s="2"/>
      <c r="Q30" s="2"/>
      <c r="R30" s="2"/>
      <c r="S30" s="2"/>
      <c r="T30" s="25"/>
      <c r="U30" s="25"/>
      <c r="V30" s="2"/>
      <c r="W30" s="2"/>
      <c r="X30" s="2"/>
      <c r="Y30" s="2"/>
      <c r="Z30" s="2"/>
      <c r="AA30" s="2"/>
      <c r="AB30" s="2"/>
      <c r="AC30" s="41"/>
      <c r="AD30" s="41"/>
      <c r="AE30" s="4"/>
    </row>
    <row r="31" spans="1:31" ht="15.75" x14ac:dyDescent="0.25">
      <c r="A31" s="43"/>
      <c r="B31" s="291" t="s">
        <v>40</v>
      </c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1"/>
      <c r="T31" s="291"/>
      <c r="U31" s="291"/>
      <c r="V31" s="2"/>
      <c r="W31" s="291" t="s">
        <v>41</v>
      </c>
      <c r="X31" s="291"/>
      <c r="Y31" s="291"/>
      <c r="Z31" s="291"/>
      <c r="AA31" s="291" t="s">
        <v>42</v>
      </c>
      <c r="AB31" s="291"/>
      <c r="AC31" s="291"/>
      <c r="AD31" s="291"/>
      <c r="AE31" s="291"/>
    </row>
    <row r="32" spans="1:31" ht="15.75" x14ac:dyDescent="0.25">
      <c r="A32" s="43"/>
      <c r="B32" s="2"/>
      <c r="C32" s="2"/>
      <c r="D32" s="2"/>
      <c r="E32" s="2"/>
      <c r="F32" s="2"/>
      <c r="G32" s="4"/>
      <c r="H32" s="4"/>
      <c r="I32" s="2"/>
      <c r="J32" s="2"/>
      <c r="K32" s="4"/>
      <c r="L32" s="2"/>
      <c r="M32" s="2"/>
      <c r="N32" s="2"/>
      <c r="O32" s="2"/>
      <c r="P32" s="2"/>
      <c r="Q32" s="2"/>
      <c r="R32" s="2"/>
      <c r="S32" s="2"/>
      <c r="T32" s="25"/>
      <c r="U32" s="25"/>
      <c r="V32" s="2"/>
      <c r="W32" s="6"/>
      <c r="X32" s="33"/>
      <c r="Y32" s="2"/>
      <c r="Z32" s="2"/>
      <c r="AA32" s="2"/>
      <c r="AB32" s="2"/>
      <c r="AC32" s="2"/>
      <c r="AD32" s="2"/>
      <c r="AE32" s="2"/>
    </row>
  </sheetData>
  <mergeCells count="20">
    <mergeCell ref="A5:AE5"/>
    <mergeCell ref="A1:U1"/>
    <mergeCell ref="AA1:AE1"/>
    <mergeCell ref="A2:U2"/>
    <mergeCell ref="AA2:AE2"/>
    <mergeCell ref="A3:U3"/>
    <mergeCell ref="B31:U31"/>
    <mergeCell ref="W31:Z31"/>
    <mergeCell ref="AA31:AE31"/>
    <mergeCell ref="A7:A8"/>
    <mergeCell ref="B7:B8"/>
    <mergeCell ref="C7:K7"/>
    <mergeCell ref="L7:T7"/>
    <mergeCell ref="U7:U8"/>
    <mergeCell ref="V7:AD7"/>
    <mergeCell ref="AE7:AE8"/>
    <mergeCell ref="AA24:AE24"/>
    <mergeCell ref="B25:U25"/>
    <mergeCell ref="W25:Z25"/>
    <mergeCell ref="AA25:AE25"/>
  </mergeCells>
  <pageMargins left="0.23622047244094491" right="0.19685039370078741" top="0.44" bottom="0.4724409448818898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topLeftCell="A22" workbookViewId="0">
      <selection activeCell="V34" sqref="V34"/>
    </sheetView>
  </sheetViews>
  <sheetFormatPr defaultRowHeight="15" x14ac:dyDescent="0.25"/>
  <cols>
    <col min="1" max="1" width="6.5703125" style="1" customWidth="1"/>
    <col min="2" max="2" width="23" style="1" customWidth="1"/>
    <col min="3" max="9" width="9.140625" style="1" hidden="1" customWidth="1"/>
    <col min="10" max="10" width="10.7109375" style="1" hidden="1" customWidth="1"/>
    <col min="11" max="11" width="13.140625" style="1" hidden="1" customWidth="1"/>
    <col min="12" max="12" width="9.140625" style="1" hidden="1" customWidth="1"/>
    <col min="13" max="13" width="10" style="1" hidden="1" customWidth="1"/>
    <col min="14" max="17" width="9.140625" style="1" hidden="1" customWidth="1"/>
    <col min="18" max="18" width="11.5703125" style="1" hidden="1" customWidth="1"/>
    <col min="19" max="19" width="10.5703125" style="1" hidden="1" customWidth="1"/>
    <col min="20" max="20" width="15" style="1" hidden="1" customWidth="1"/>
    <col min="21" max="21" width="12.7109375" style="1" customWidth="1"/>
    <col min="22" max="22" width="9.5703125" style="1" bestFit="1" customWidth="1"/>
    <col min="23" max="23" width="9.140625" style="1"/>
    <col min="24" max="24" width="9" style="1" customWidth="1"/>
    <col min="25" max="25" width="9.5703125" style="1" bestFit="1" customWidth="1"/>
    <col min="26" max="28" width="9.140625" style="1"/>
    <col min="29" max="29" width="9.5703125" style="1" bestFit="1" customWidth="1"/>
    <col min="30" max="30" width="15.42578125" style="1" bestFit="1" customWidth="1"/>
    <col min="31" max="31" width="10.57031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57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.75" x14ac:dyDescent="0.25">
      <c r="A6" s="2"/>
      <c r="B6" s="54">
        <v>1390000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58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5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26</v>
      </c>
      <c r="AE9" s="27" t="s">
        <v>27</v>
      </c>
    </row>
    <row r="10" spans="1:31" ht="27.75" customHeight="1" x14ac:dyDescent="0.25">
      <c r="A10" s="34" t="s">
        <v>28</v>
      </c>
      <c r="B10" s="32"/>
      <c r="C10" s="31"/>
      <c r="D10" s="49">
        <f t="shared" ref="D10:AD10" si="0">D11+D14</f>
        <v>26.61</v>
      </c>
      <c r="E10" s="49">
        <f t="shared" si="0"/>
        <v>1.5936000000000001</v>
      </c>
      <c r="F10" s="49">
        <f t="shared" si="0"/>
        <v>1.05</v>
      </c>
      <c r="G10" s="50">
        <f t="shared" si="0"/>
        <v>3.4741960000000001</v>
      </c>
      <c r="H10" s="49">
        <f t="shared" si="0"/>
        <v>0</v>
      </c>
      <c r="I10" s="50">
        <f t="shared" si="0"/>
        <v>7.3133999999999997</v>
      </c>
      <c r="J10" s="50">
        <f t="shared" si="0"/>
        <v>40.041195999999999</v>
      </c>
      <c r="K10" s="62">
        <f t="shared" si="0"/>
        <v>55657262.439999998</v>
      </c>
      <c r="L10" s="49">
        <f t="shared" si="0"/>
        <v>0</v>
      </c>
      <c r="M10" s="49">
        <f t="shared" si="0"/>
        <v>30.868000000000002</v>
      </c>
      <c r="N10" s="50">
        <f t="shared" si="0"/>
        <v>1.5936000000000001</v>
      </c>
      <c r="O10" s="49">
        <f t="shared" si="0"/>
        <v>1.05</v>
      </c>
      <c r="P10" s="50">
        <f t="shared" si="0"/>
        <v>3.7667320000000002</v>
      </c>
      <c r="Q10" s="49">
        <f t="shared" si="0"/>
        <v>0</v>
      </c>
      <c r="R10" s="50">
        <f t="shared" si="0"/>
        <v>8.3779000000000003</v>
      </c>
      <c r="S10" s="50">
        <f t="shared" si="0"/>
        <v>45.656232000000003</v>
      </c>
      <c r="T10" s="62">
        <f t="shared" si="0"/>
        <v>63462162.480000004</v>
      </c>
      <c r="U10" s="49">
        <f t="shared" si="0"/>
        <v>0</v>
      </c>
      <c r="V10" s="49">
        <f t="shared" si="0"/>
        <v>4.258</v>
      </c>
      <c r="W10" s="50">
        <f t="shared" si="0"/>
        <v>0</v>
      </c>
      <c r="X10" s="49">
        <f t="shared" si="0"/>
        <v>0</v>
      </c>
      <c r="Y10" s="50">
        <f t="shared" si="0"/>
        <v>0.29253599999999991</v>
      </c>
      <c r="Z10" s="49">
        <f t="shared" si="0"/>
        <v>0</v>
      </c>
      <c r="AA10" s="49">
        <f t="shared" si="0"/>
        <v>0</v>
      </c>
      <c r="AB10" s="50">
        <f t="shared" si="0"/>
        <v>1.0646</v>
      </c>
      <c r="AC10" s="50">
        <f t="shared" si="0"/>
        <v>5.6151359999999997</v>
      </c>
      <c r="AD10" s="62">
        <f t="shared" si="0"/>
        <v>7805039.04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 t="shared" ref="D11:AD11" si="1">SUM(D12:D13)</f>
        <v>9.9600000000000009</v>
      </c>
      <c r="E11" s="53">
        <f t="shared" si="1"/>
        <v>1.5936000000000001</v>
      </c>
      <c r="F11" s="53">
        <f t="shared" si="1"/>
        <v>0.8</v>
      </c>
      <c r="G11" s="61">
        <f t="shared" si="1"/>
        <v>1.6253960000000001</v>
      </c>
      <c r="H11" s="53">
        <f t="shared" si="1"/>
        <v>0</v>
      </c>
      <c r="I11" s="61">
        <f t="shared" si="1"/>
        <v>3.0884</v>
      </c>
      <c r="J11" s="61">
        <f t="shared" si="1"/>
        <v>17.067396000000002</v>
      </c>
      <c r="K11" s="121">
        <f t="shared" si="1"/>
        <v>23723680.440000001</v>
      </c>
      <c r="L11" s="53">
        <f t="shared" si="1"/>
        <v>0</v>
      </c>
      <c r="M11" s="53">
        <f t="shared" si="1"/>
        <v>9.9600000000000009</v>
      </c>
      <c r="N11" s="61">
        <f t="shared" si="1"/>
        <v>1.5936000000000001</v>
      </c>
      <c r="O11" s="53">
        <f t="shared" si="1"/>
        <v>0.8</v>
      </c>
      <c r="P11" s="61">
        <f t="shared" si="1"/>
        <v>1.7489319999999999</v>
      </c>
      <c r="Q11" s="53">
        <f t="shared" si="1"/>
        <v>0</v>
      </c>
      <c r="R11" s="61">
        <f t="shared" si="1"/>
        <v>3.0884</v>
      </c>
      <c r="S11" s="61">
        <f t="shared" si="1"/>
        <v>17.190932000000004</v>
      </c>
      <c r="T11" s="121">
        <f t="shared" si="1"/>
        <v>23895395.480000004</v>
      </c>
      <c r="U11" s="53">
        <f t="shared" si="1"/>
        <v>0</v>
      </c>
      <c r="V11" s="53">
        <f t="shared" si="1"/>
        <v>0</v>
      </c>
      <c r="W11" s="61">
        <f t="shared" si="1"/>
        <v>0</v>
      </c>
      <c r="X11" s="53">
        <f t="shared" si="1"/>
        <v>0</v>
      </c>
      <c r="Y11" s="61">
        <f t="shared" si="1"/>
        <v>0.12353599999999998</v>
      </c>
      <c r="Z11" s="53">
        <f t="shared" si="1"/>
        <v>0</v>
      </c>
      <c r="AA11" s="53">
        <f t="shared" si="1"/>
        <v>0</v>
      </c>
      <c r="AB11" s="53">
        <f t="shared" si="1"/>
        <v>0</v>
      </c>
      <c r="AC11" s="61">
        <f t="shared" si="1"/>
        <v>0.12353599999999998</v>
      </c>
      <c r="AD11" s="121">
        <f t="shared" si="1"/>
        <v>171715.03999999998</v>
      </c>
      <c r="AE11" s="51"/>
    </row>
    <row r="12" spans="1:31" ht="32.25" customHeight="1" x14ac:dyDescent="0.25">
      <c r="A12" s="96">
        <v>1</v>
      </c>
      <c r="B12" s="97" t="s">
        <v>41</v>
      </c>
      <c r="C12" s="96"/>
      <c r="D12" s="98">
        <v>4.9800000000000004</v>
      </c>
      <c r="E12" s="98">
        <f>D12*32/100</f>
        <v>1.5936000000000001</v>
      </c>
      <c r="F12" s="98">
        <v>0.45</v>
      </c>
      <c r="G12" s="99">
        <f>(D12+E12+F12)*11/100</f>
        <v>0.77259600000000006</v>
      </c>
      <c r="H12" s="98"/>
      <c r="I12" s="99">
        <f>(D12+E12+F12)*25/100</f>
        <v>1.7559000000000002</v>
      </c>
      <c r="J12" s="99">
        <f>SUM(D12:I12)</f>
        <v>9.5520960000000006</v>
      </c>
      <c r="K12" s="100">
        <f>J12*$B$6</f>
        <v>13277413.440000001</v>
      </c>
      <c r="L12" s="98"/>
      <c r="M12" s="98">
        <v>4.9800000000000004</v>
      </c>
      <c r="N12" s="98">
        <f>M12*32/100</f>
        <v>1.5936000000000001</v>
      </c>
      <c r="O12" s="98">
        <v>0.45</v>
      </c>
      <c r="P12" s="99">
        <f>(M12+N12+O12)*12/100</f>
        <v>0.84283200000000003</v>
      </c>
      <c r="Q12" s="98"/>
      <c r="R12" s="99">
        <f>(M12+N12+O12)*25/100</f>
        <v>1.7559000000000002</v>
      </c>
      <c r="S12" s="99">
        <f>SUM(M12:R12)</f>
        <v>9.6223320000000019</v>
      </c>
      <c r="T12" s="100">
        <f>S12*$B$6</f>
        <v>13375041.480000002</v>
      </c>
      <c r="U12" s="141" t="s">
        <v>59</v>
      </c>
      <c r="V12" s="98"/>
      <c r="W12" s="99">
        <v>0</v>
      </c>
      <c r="X12" s="98"/>
      <c r="Y12" s="99">
        <f>P12-G12</f>
        <v>7.0235999999999965E-2</v>
      </c>
      <c r="Z12" s="98"/>
      <c r="AA12" s="98"/>
      <c r="AB12" s="98">
        <v>0</v>
      </c>
      <c r="AC12" s="99">
        <f>SUM(V12:AB12)</f>
        <v>7.0235999999999965E-2</v>
      </c>
      <c r="AD12" s="100">
        <f>AC12*$B$6</f>
        <v>97628.03999999995</v>
      </c>
      <c r="AE12" s="84" t="s">
        <v>60</v>
      </c>
    </row>
    <row r="13" spans="1:31" ht="32.25" customHeight="1" x14ac:dyDescent="0.25">
      <c r="A13" s="124">
        <v>2</v>
      </c>
      <c r="B13" s="125" t="s">
        <v>61</v>
      </c>
      <c r="C13" s="125"/>
      <c r="D13" s="126">
        <v>4.9800000000000004</v>
      </c>
      <c r="E13" s="127"/>
      <c r="F13" s="127">
        <v>0.35</v>
      </c>
      <c r="G13" s="127">
        <f>(D13+E13+F13)*16/100</f>
        <v>0.8528</v>
      </c>
      <c r="H13" s="127"/>
      <c r="I13" s="127">
        <f>(D13+E13+F13)*25/100</f>
        <v>1.3325</v>
      </c>
      <c r="J13" s="127">
        <f>SUM(D13:I13)</f>
        <v>7.5152999999999999</v>
      </c>
      <c r="K13" s="128">
        <f>J13*$B$6</f>
        <v>10446267</v>
      </c>
      <c r="L13" s="127"/>
      <c r="M13" s="129">
        <v>4.9800000000000004</v>
      </c>
      <c r="N13" s="127"/>
      <c r="O13" s="127">
        <v>0.35</v>
      </c>
      <c r="P13" s="127">
        <f>(M13+N13+O13)*17/100</f>
        <v>0.90610000000000002</v>
      </c>
      <c r="Q13" s="127"/>
      <c r="R13" s="99">
        <f t="shared" ref="R13" si="2">(M13+N13+O13)*25/100</f>
        <v>1.3325</v>
      </c>
      <c r="S13" s="130">
        <f>SUM(M13:R13)</f>
        <v>7.5686</v>
      </c>
      <c r="T13" s="131">
        <f>S13*$B$6</f>
        <v>10520354</v>
      </c>
      <c r="U13" s="132" t="s">
        <v>34</v>
      </c>
      <c r="V13" s="133">
        <v>0</v>
      </c>
      <c r="W13" s="133">
        <f>N13</f>
        <v>0</v>
      </c>
      <c r="X13" s="133"/>
      <c r="Y13" s="99">
        <f t="shared" ref="Y13" si="3">P13-G13</f>
        <v>5.3300000000000014E-2</v>
      </c>
      <c r="Z13" s="133"/>
      <c r="AA13" s="133"/>
      <c r="AB13" s="133"/>
      <c r="AC13" s="99">
        <f t="shared" ref="AC13" si="4">SUM(V13:AB13)</f>
        <v>5.3300000000000014E-2</v>
      </c>
      <c r="AD13" s="100">
        <f t="shared" ref="AD13" si="5">AC13*$B$6</f>
        <v>74087.000000000015</v>
      </c>
      <c r="AE13" s="84" t="s">
        <v>62</v>
      </c>
    </row>
    <row r="14" spans="1:31" ht="52.5" customHeight="1" x14ac:dyDescent="0.25">
      <c r="A14" s="102"/>
      <c r="B14" s="92" t="s">
        <v>33</v>
      </c>
      <c r="C14" s="69"/>
      <c r="D14" s="106">
        <f t="shared" ref="D14:AD14" si="6">SUM(D15:D21)</f>
        <v>16.649999999999999</v>
      </c>
      <c r="E14" s="106">
        <f t="shared" si="6"/>
        <v>0</v>
      </c>
      <c r="F14" s="106">
        <f t="shared" si="6"/>
        <v>0.25</v>
      </c>
      <c r="G14" s="71">
        <f t="shared" si="6"/>
        <v>1.8488000000000002</v>
      </c>
      <c r="H14" s="106">
        <f t="shared" si="6"/>
        <v>0</v>
      </c>
      <c r="I14" s="71">
        <f t="shared" si="6"/>
        <v>4.2249999999999996</v>
      </c>
      <c r="J14" s="71">
        <f t="shared" si="6"/>
        <v>22.973800000000001</v>
      </c>
      <c r="K14" s="70">
        <f t="shared" si="6"/>
        <v>31933582</v>
      </c>
      <c r="L14" s="106">
        <f t="shared" si="6"/>
        <v>0</v>
      </c>
      <c r="M14" s="106">
        <f t="shared" si="6"/>
        <v>20.908000000000001</v>
      </c>
      <c r="N14" s="71">
        <f t="shared" si="6"/>
        <v>0</v>
      </c>
      <c r="O14" s="106">
        <f t="shared" si="6"/>
        <v>0.25</v>
      </c>
      <c r="P14" s="71">
        <f t="shared" si="6"/>
        <v>2.0178000000000003</v>
      </c>
      <c r="Q14" s="106">
        <f t="shared" si="6"/>
        <v>0</v>
      </c>
      <c r="R14" s="71">
        <f t="shared" si="6"/>
        <v>5.2895000000000003</v>
      </c>
      <c r="S14" s="71">
        <f t="shared" si="6"/>
        <v>28.465299999999999</v>
      </c>
      <c r="T14" s="70">
        <f t="shared" si="6"/>
        <v>39566767</v>
      </c>
      <c r="U14" s="106">
        <f t="shared" si="6"/>
        <v>0</v>
      </c>
      <c r="V14" s="71">
        <f t="shared" si="6"/>
        <v>4.258</v>
      </c>
      <c r="W14" s="71">
        <f t="shared" si="6"/>
        <v>0</v>
      </c>
      <c r="X14" s="106">
        <f t="shared" si="6"/>
        <v>0</v>
      </c>
      <c r="Y14" s="71">
        <f t="shared" si="6"/>
        <v>0.1689999999999999</v>
      </c>
      <c r="Z14" s="106">
        <f t="shared" si="6"/>
        <v>0</v>
      </c>
      <c r="AA14" s="106">
        <f t="shared" si="6"/>
        <v>0</v>
      </c>
      <c r="AB14" s="71">
        <f>SUM(AB15:AB21)</f>
        <v>1.0646</v>
      </c>
      <c r="AC14" s="71">
        <f t="shared" si="6"/>
        <v>5.4916</v>
      </c>
      <c r="AD14" s="70">
        <f t="shared" si="6"/>
        <v>7633324</v>
      </c>
      <c r="AE14" s="106">
        <v>0</v>
      </c>
    </row>
    <row r="15" spans="1:31" ht="30.75" customHeight="1" x14ac:dyDescent="0.25">
      <c r="A15" s="96">
        <v>1</v>
      </c>
      <c r="B15" s="77" t="s">
        <v>63</v>
      </c>
      <c r="C15" s="79"/>
      <c r="D15" s="35">
        <v>3</v>
      </c>
      <c r="E15" s="80"/>
      <c r="F15" s="80">
        <v>0</v>
      </c>
      <c r="G15" s="80">
        <f>(D15+E15+F15)*6/100</f>
        <v>0.18</v>
      </c>
      <c r="H15" s="81"/>
      <c r="I15" s="80">
        <f>(D15+E15+F15)*25/100</f>
        <v>0.75</v>
      </c>
      <c r="J15" s="80">
        <f>SUM(D15:I15)</f>
        <v>3.93</v>
      </c>
      <c r="K15" s="76">
        <f>J15*$B$6</f>
        <v>5462700</v>
      </c>
      <c r="L15" s="82"/>
      <c r="M15" s="88">
        <v>3</v>
      </c>
      <c r="N15" s="80"/>
      <c r="O15" s="80">
        <v>0</v>
      </c>
      <c r="P15" s="80">
        <f>(M15+N15+O15)*7/100</f>
        <v>0.21</v>
      </c>
      <c r="Q15" s="81"/>
      <c r="R15" s="80">
        <f>(M15+N15+O15)*25/100</f>
        <v>0.75</v>
      </c>
      <c r="S15" s="64">
        <f>SUM(M15:R15)</f>
        <v>3.96</v>
      </c>
      <c r="T15" s="83">
        <f>S15*$B$6</f>
        <v>5504400</v>
      </c>
      <c r="U15" s="60" t="s">
        <v>34</v>
      </c>
      <c r="V15" s="85"/>
      <c r="W15" s="85"/>
      <c r="X15" s="85"/>
      <c r="Y15" s="85">
        <f>P15-G15</f>
        <v>0.03</v>
      </c>
      <c r="Z15" s="85"/>
      <c r="AA15" s="85"/>
      <c r="AB15" s="85">
        <v>0</v>
      </c>
      <c r="AC15" s="85">
        <f>SUM(V15:AB15)</f>
        <v>0.03</v>
      </c>
      <c r="AD15" s="86">
        <f>AC15*$B$6</f>
        <v>41700</v>
      </c>
      <c r="AE15" s="84" t="s">
        <v>64</v>
      </c>
    </row>
    <row r="16" spans="1:31" ht="30.75" customHeight="1" x14ac:dyDescent="0.25">
      <c r="A16" s="96">
        <v>2</v>
      </c>
      <c r="B16" s="77" t="s">
        <v>65</v>
      </c>
      <c r="C16" s="79"/>
      <c r="D16" s="35">
        <v>3.66</v>
      </c>
      <c r="E16" s="80"/>
      <c r="F16" s="80"/>
      <c r="G16" s="80">
        <f>(D16+E16+F16)*13/100</f>
        <v>0.4758</v>
      </c>
      <c r="H16" s="81"/>
      <c r="I16" s="80">
        <f t="shared" ref="I16:I21" si="7">(D16+E16+F16)*25/100</f>
        <v>0.91500000000000004</v>
      </c>
      <c r="J16" s="80">
        <f t="shared" ref="J16:J21" si="8">SUM(D16:I16)</f>
        <v>5.0507999999999997</v>
      </c>
      <c r="K16" s="76">
        <f t="shared" ref="K16:K21" si="9">J16*$B$6</f>
        <v>7020612</v>
      </c>
      <c r="L16" s="82"/>
      <c r="M16" s="88">
        <v>3.66</v>
      </c>
      <c r="N16" s="80"/>
      <c r="O16" s="80"/>
      <c r="P16" s="80">
        <f>(M16+N16+O16)*14/100</f>
        <v>0.51239999999999997</v>
      </c>
      <c r="Q16" s="81"/>
      <c r="R16" s="80">
        <f t="shared" ref="R16:R21" si="10">(M16+N16+O16)*25/100</f>
        <v>0.91500000000000004</v>
      </c>
      <c r="S16" s="64">
        <f t="shared" ref="S16:S21" si="11">SUM(M16:R16)</f>
        <v>5.0873999999999997</v>
      </c>
      <c r="T16" s="83">
        <f t="shared" ref="T16:T21" si="12">S16*$B$6</f>
        <v>7071486</v>
      </c>
      <c r="U16" s="60" t="s">
        <v>34</v>
      </c>
      <c r="V16" s="85"/>
      <c r="W16" s="85"/>
      <c r="X16" s="85"/>
      <c r="Y16" s="85">
        <f t="shared" ref="Y16:Y21" si="13">P16-G16</f>
        <v>3.6599999999999966E-2</v>
      </c>
      <c r="Z16" s="85"/>
      <c r="AA16" s="85"/>
      <c r="AB16" s="85"/>
      <c r="AC16" s="85">
        <f t="shared" ref="AC16:AC21" si="14">SUM(V16:AB16)</f>
        <v>3.6599999999999966E-2</v>
      </c>
      <c r="AD16" s="86">
        <f t="shared" ref="AD16:AD21" si="15">AC16*$B$6</f>
        <v>50873.999999999949</v>
      </c>
      <c r="AE16" s="84" t="s">
        <v>66</v>
      </c>
    </row>
    <row r="17" spans="1:31" ht="30.75" customHeight="1" x14ac:dyDescent="0.25">
      <c r="A17" s="96">
        <v>3</v>
      </c>
      <c r="B17" s="77" t="s">
        <v>67</v>
      </c>
      <c r="C17" s="79"/>
      <c r="D17" s="35">
        <v>3.66</v>
      </c>
      <c r="E17" s="80"/>
      <c r="F17" s="80"/>
      <c r="G17" s="80">
        <f>(D17+E17+F17)*12/100</f>
        <v>0.43920000000000003</v>
      </c>
      <c r="H17" s="81"/>
      <c r="I17" s="80">
        <f t="shared" si="7"/>
        <v>0.91500000000000004</v>
      </c>
      <c r="J17" s="80">
        <f t="shared" si="8"/>
        <v>5.0141999999999998</v>
      </c>
      <c r="K17" s="76">
        <f t="shared" si="9"/>
        <v>6969738</v>
      </c>
      <c r="L17" s="82"/>
      <c r="M17" s="88">
        <v>3.66</v>
      </c>
      <c r="N17" s="80"/>
      <c r="O17" s="80"/>
      <c r="P17" s="80">
        <f>(M17+N17+O17)*13/100</f>
        <v>0.4758</v>
      </c>
      <c r="Q17" s="81"/>
      <c r="R17" s="80">
        <f t="shared" si="10"/>
        <v>0.91500000000000004</v>
      </c>
      <c r="S17" s="64">
        <f t="shared" si="11"/>
        <v>5.0507999999999997</v>
      </c>
      <c r="T17" s="83">
        <f t="shared" si="12"/>
        <v>7020612</v>
      </c>
      <c r="U17" s="60" t="s">
        <v>34</v>
      </c>
      <c r="V17" s="85"/>
      <c r="W17" s="85"/>
      <c r="X17" s="85"/>
      <c r="Y17" s="85">
        <f t="shared" si="13"/>
        <v>3.6599999999999966E-2</v>
      </c>
      <c r="Z17" s="85"/>
      <c r="AA17" s="85"/>
      <c r="AB17" s="85"/>
      <c r="AC17" s="85">
        <f t="shared" si="14"/>
        <v>3.6599999999999966E-2</v>
      </c>
      <c r="AD17" s="86">
        <f t="shared" si="15"/>
        <v>50873.999999999949</v>
      </c>
      <c r="AE17" s="84" t="s">
        <v>68</v>
      </c>
    </row>
    <row r="18" spans="1:31" ht="30.75" customHeight="1" x14ac:dyDescent="0.25">
      <c r="A18" s="96">
        <v>4</v>
      </c>
      <c r="B18" s="77" t="s">
        <v>69</v>
      </c>
      <c r="C18" s="79"/>
      <c r="D18" s="35">
        <v>3</v>
      </c>
      <c r="E18" s="80"/>
      <c r="F18" s="80"/>
      <c r="G18" s="80">
        <f>(D18+E18+F18)*12/100</f>
        <v>0.36</v>
      </c>
      <c r="H18" s="81"/>
      <c r="I18" s="80">
        <f t="shared" si="7"/>
        <v>0.75</v>
      </c>
      <c r="J18" s="80">
        <f t="shared" si="8"/>
        <v>4.1099999999999994</v>
      </c>
      <c r="K18" s="76">
        <f t="shared" si="9"/>
        <v>5712899.9999999991</v>
      </c>
      <c r="L18" s="82"/>
      <c r="M18" s="88">
        <v>3</v>
      </c>
      <c r="N18" s="80"/>
      <c r="O18" s="80"/>
      <c r="P18" s="80">
        <f>(M18+N18+O18)*13/100</f>
        <v>0.39</v>
      </c>
      <c r="Q18" s="81"/>
      <c r="R18" s="80">
        <f t="shared" si="10"/>
        <v>0.75</v>
      </c>
      <c r="S18" s="64">
        <f t="shared" si="11"/>
        <v>4.1400000000000006</v>
      </c>
      <c r="T18" s="83">
        <f t="shared" si="12"/>
        <v>5754600.0000000009</v>
      </c>
      <c r="U18" s="60" t="s">
        <v>34</v>
      </c>
      <c r="V18" s="85"/>
      <c r="W18" s="85"/>
      <c r="X18" s="85"/>
      <c r="Y18" s="85">
        <f t="shared" si="13"/>
        <v>3.0000000000000027E-2</v>
      </c>
      <c r="Z18" s="85"/>
      <c r="AA18" s="85"/>
      <c r="AB18" s="85"/>
      <c r="AC18" s="85">
        <f t="shared" si="14"/>
        <v>3.0000000000000027E-2</v>
      </c>
      <c r="AD18" s="86">
        <f t="shared" si="15"/>
        <v>41700.000000000036</v>
      </c>
      <c r="AE18" s="84" t="s">
        <v>68</v>
      </c>
    </row>
    <row r="19" spans="1:31" ht="30.75" customHeight="1" x14ac:dyDescent="0.25">
      <c r="A19" s="96">
        <v>5</v>
      </c>
      <c r="B19" s="77" t="s">
        <v>84</v>
      </c>
      <c r="C19" s="79"/>
      <c r="D19" s="148">
        <v>0</v>
      </c>
      <c r="E19" s="80"/>
      <c r="F19" s="80"/>
      <c r="G19" s="80"/>
      <c r="H19" s="81"/>
      <c r="I19" s="80">
        <f t="shared" si="7"/>
        <v>0</v>
      </c>
      <c r="J19" s="80">
        <f t="shared" si="8"/>
        <v>0</v>
      </c>
      <c r="K19" s="76">
        <f t="shared" si="9"/>
        <v>0</v>
      </c>
      <c r="L19" s="82"/>
      <c r="M19" s="148">
        <v>1.9890000000000001</v>
      </c>
      <c r="N19" s="80"/>
      <c r="O19" s="80"/>
      <c r="P19" s="80"/>
      <c r="Q19" s="81"/>
      <c r="R19" s="80">
        <f t="shared" si="10"/>
        <v>0.49725000000000003</v>
      </c>
      <c r="S19" s="64">
        <f t="shared" si="11"/>
        <v>2.4862500000000001</v>
      </c>
      <c r="T19" s="83">
        <f t="shared" si="12"/>
        <v>3455887.5</v>
      </c>
      <c r="U19" s="60" t="s">
        <v>34</v>
      </c>
      <c r="V19" s="85">
        <f>M19</f>
        <v>1.9890000000000001</v>
      </c>
      <c r="W19" s="85"/>
      <c r="X19" s="85"/>
      <c r="Y19" s="85"/>
      <c r="Z19" s="85"/>
      <c r="AA19" s="85"/>
      <c r="AB19" s="85">
        <f>(V19+W19+X19)*25/100+0.00005</f>
        <v>0.49730000000000002</v>
      </c>
      <c r="AC19" s="85">
        <f t="shared" si="14"/>
        <v>2.4863</v>
      </c>
      <c r="AD19" s="86">
        <f t="shared" si="15"/>
        <v>3455957</v>
      </c>
      <c r="AE19" s="84" t="s">
        <v>86</v>
      </c>
    </row>
    <row r="20" spans="1:31" ht="30.75" customHeight="1" x14ac:dyDescent="0.25">
      <c r="A20" s="96">
        <v>6</v>
      </c>
      <c r="B20" s="77" t="s">
        <v>85</v>
      </c>
      <c r="C20" s="79"/>
      <c r="D20" s="148">
        <v>0</v>
      </c>
      <c r="E20" s="80"/>
      <c r="F20" s="80"/>
      <c r="G20" s="80"/>
      <c r="H20" s="81"/>
      <c r="I20" s="80">
        <f t="shared" si="7"/>
        <v>0</v>
      </c>
      <c r="J20" s="80">
        <f t="shared" si="8"/>
        <v>0</v>
      </c>
      <c r="K20" s="76">
        <f t="shared" si="9"/>
        <v>0</v>
      </c>
      <c r="L20" s="82"/>
      <c r="M20" s="148">
        <v>2.2690000000000001</v>
      </c>
      <c r="N20" s="80"/>
      <c r="O20" s="80"/>
      <c r="P20" s="80"/>
      <c r="Q20" s="81"/>
      <c r="R20" s="80">
        <f t="shared" si="10"/>
        <v>0.56725000000000003</v>
      </c>
      <c r="S20" s="64">
        <f t="shared" si="11"/>
        <v>2.8362500000000002</v>
      </c>
      <c r="T20" s="83">
        <f t="shared" si="12"/>
        <v>3942387.5</v>
      </c>
      <c r="U20" s="60" t="s">
        <v>34</v>
      </c>
      <c r="V20" s="85">
        <f>M20</f>
        <v>2.2690000000000001</v>
      </c>
      <c r="W20" s="85"/>
      <c r="X20" s="85"/>
      <c r="Y20" s="85"/>
      <c r="Z20" s="85"/>
      <c r="AA20" s="85"/>
      <c r="AB20" s="85">
        <f>(V20+W20+X20)*25/100+0.00005</f>
        <v>0.56730000000000003</v>
      </c>
      <c r="AC20" s="85">
        <f t="shared" si="14"/>
        <v>2.8363</v>
      </c>
      <c r="AD20" s="86">
        <f t="shared" si="15"/>
        <v>3942457</v>
      </c>
      <c r="AE20" s="84" t="s">
        <v>86</v>
      </c>
    </row>
    <row r="21" spans="1:31" ht="30.75" customHeight="1" x14ac:dyDescent="0.25">
      <c r="A21" s="96">
        <v>7</v>
      </c>
      <c r="B21" s="77" t="s">
        <v>70</v>
      </c>
      <c r="C21" s="79"/>
      <c r="D21" s="35">
        <v>3.33</v>
      </c>
      <c r="E21" s="80"/>
      <c r="F21" s="80">
        <v>0.25</v>
      </c>
      <c r="G21" s="80">
        <f>(D21+E21+F21)*11/100</f>
        <v>0.39380000000000004</v>
      </c>
      <c r="H21" s="81"/>
      <c r="I21" s="80">
        <f t="shared" si="7"/>
        <v>0.89500000000000002</v>
      </c>
      <c r="J21" s="80">
        <f t="shared" si="8"/>
        <v>4.8688000000000002</v>
      </c>
      <c r="K21" s="76">
        <f t="shared" si="9"/>
        <v>6767632</v>
      </c>
      <c r="L21" s="82"/>
      <c r="M21" s="88">
        <v>3.33</v>
      </c>
      <c r="N21" s="80"/>
      <c r="O21" s="80">
        <v>0.25</v>
      </c>
      <c r="P21" s="80">
        <f>(M21+N21+O21)*12/100</f>
        <v>0.42959999999999998</v>
      </c>
      <c r="Q21" s="81"/>
      <c r="R21" s="80">
        <f t="shared" si="10"/>
        <v>0.89500000000000002</v>
      </c>
      <c r="S21" s="64">
        <f t="shared" si="11"/>
        <v>4.9046000000000003</v>
      </c>
      <c r="T21" s="83">
        <f t="shared" si="12"/>
        <v>6817394</v>
      </c>
      <c r="U21" s="60" t="s">
        <v>34</v>
      </c>
      <c r="V21" s="85">
        <f>M21-D21</f>
        <v>0</v>
      </c>
      <c r="W21" s="85"/>
      <c r="X21" s="85"/>
      <c r="Y21" s="85">
        <f t="shared" si="13"/>
        <v>3.5799999999999943E-2</v>
      </c>
      <c r="Z21" s="85"/>
      <c r="AA21" s="85"/>
      <c r="AB21" s="85">
        <v>0</v>
      </c>
      <c r="AC21" s="85">
        <f t="shared" si="14"/>
        <v>3.5799999999999943E-2</v>
      </c>
      <c r="AD21" s="86">
        <f t="shared" si="15"/>
        <v>49761.99999999992</v>
      </c>
      <c r="AE21" s="84" t="s">
        <v>71</v>
      </c>
    </row>
    <row r="22" spans="1:31" ht="26.25" customHeight="1" x14ac:dyDescent="0.25">
      <c r="A22" s="34" t="s">
        <v>36</v>
      </c>
      <c r="B22" s="66"/>
      <c r="C22" s="63"/>
      <c r="D22" s="73">
        <f t="shared" ref="D22:AD22" si="16">D23+D27</f>
        <v>19.97</v>
      </c>
      <c r="E22" s="68">
        <f t="shared" si="16"/>
        <v>0</v>
      </c>
      <c r="F22" s="73">
        <f t="shared" si="16"/>
        <v>0.35</v>
      </c>
      <c r="G22" s="68">
        <f t="shared" si="16"/>
        <v>1.3456999999999999</v>
      </c>
      <c r="H22" s="73">
        <f t="shared" si="16"/>
        <v>0</v>
      </c>
      <c r="I22" s="68">
        <f t="shared" si="16"/>
        <v>3.7475000000000001</v>
      </c>
      <c r="J22" s="68">
        <f t="shared" si="16"/>
        <v>25.4132</v>
      </c>
      <c r="K22" s="67">
        <f t="shared" si="16"/>
        <v>35324348</v>
      </c>
      <c r="L22" s="73">
        <f t="shared" si="16"/>
        <v>0</v>
      </c>
      <c r="M22" s="73">
        <f t="shared" si="16"/>
        <v>3.66</v>
      </c>
      <c r="N22" s="73">
        <f t="shared" si="16"/>
        <v>0</v>
      </c>
      <c r="O22" s="73">
        <f t="shared" si="16"/>
        <v>0</v>
      </c>
      <c r="P22" s="73">
        <f t="shared" si="16"/>
        <v>0</v>
      </c>
      <c r="Q22" s="73">
        <f t="shared" si="16"/>
        <v>0</v>
      </c>
      <c r="R22" s="73">
        <f t="shared" si="16"/>
        <v>0</v>
      </c>
      <c r="S22" s="73">
        <f t="shared" si="16"/>
        <v>3.66</v>
      </c>
      <c r="T22" s="73">
        <f t="shared" si="16"/>
        <v>5087400</v>
      </c>
      <c r="U22" s="73"/>
      <c r="V22" s="73">
        <f t="shared" si="16"/>
        <v>16.310000000000002</v>
      </c>
      <c r="W22" s="68">
        <f t="shared" si="16"/>
        <v>0</v>
      </c>
      <c r="X22" s="73">
        <f t="shared" si="16"/>
        <v>0.35</v>
      </c>
      <c r="Y22" s="68">
        <f t="shared" si="16"/>
        <v>1.3456999999999999</v>
      </c>
      <c r="Z22" s="73">
        <f t="shared" si="16"/>
        <v>0</v>
      </c>
      <c r="AA22" s="73">
        <f t="shared" si="16"/>
        <v>0</v>
      </c>
      <c r="AB22" s="68">
        <f t="shared" si="16"/>
        <v>2.58</v>
      </c>
      <c r="AC22" s="68">
        <f t="shared" si="16"/>
        <v>20.585700000000003</v>
      </c>
      <c r="AD22" s="67">
        <f t="shared" si="16"/>
        <v>28614123</v>
      </c>
      <c r="AE22" s="72"/>
    </row>
    <row r="23" spans="1:31" ht="23.25" customHeight="1" x14ac:dyDescent="0.25">
      <c r="A23" s="59"/>
      <c r="B23" s="65" t="s">
        <v>29</v>
      </c>
      <c r="C23" s="60"/>
      <c r="D23" s="74">
        <f>SUM(D24:D26)</f>
        <v>11.97</v>
      </c>
      <c r="E23" s="74">
        <f t="shared" ref="E23:AE23" si="17">SUM(E24:E26)</f>
        <v>0</v>
      </c>
      <c r="F23" s="74">
        <f t="shared" si="17"/>
        <v>0.35</v>
      </c>
      <c r="G23" s="78">
        <f t="shared" si="17"/>
        <v>1.3456999999999999</v>
      </c>
      <c r="H23" s="74">
        <f t="shared" si="17"/>
        <v>0</v>
      </c>
      <c r="I23" s="78">
        <f t="shared" si="17"/>
        <v>3.08</v>
      </c>
      <c r="J23" s="78">
        <f t="shared" si="17"/>
        <v>16.745699999999999</v>
      </c>
      <c r="K23" s="75">
        <f t="shared" si="17"/>
        <v>23276523</v>
      </c>
      <c r="L23" s="74">
        <f t="shared" si="17"/>
        <v>0</v>
      </c>
      <c r="M23" s="74">
        <f t="shared" si="17"/>
        <v>3.66</v>
      </c>
      <c r="N23" s="74">
        <f t="shared" si="17"/>
        <v>0</v>
      </c>
      <c r="O23" s="74">
        <f t="shared" si="17"/>
        <v>0</v>
      </c>
      <c r="P23" s="74">
        <f t="shared" si="17"/>
        <v>0</v>
      </c>
      <c r="Q23" s="74">
        <f t="shared" si="17"/>
        <v>0</v>
      </c>
      <c r="R23" s="74">
        <f t="shared" si="17"/>
        <v>0</v>
      </c>
      <c r="S23" s="74">
        <f t="shared" si="17"/>
        <v>3.66</v>
      </c>
      <c r="T23" s="74">
        <f t="shared" si="17"/>
        <v>5087400</v>
      </c>
      <c r="U23" s="74">
        <f t="shared" si="17"/>
        <v>0</v>
      </c>
      <c r="V23" s="74">
        <f t="shared" si="17"/>
        <v>8.31</v>
      </c>
      <c r="W23" s="74">
        <f t="shared" si="17"/>
        <v>0</v>
      </c>
      <c r="X23" s="74">
        <f t="shared" si="17"/>
        <v>0.35</v>
      </c>
      <c r="Y23" s="78">
        <f t="shared" si="17"/>
        <v>1.3456999999999999</v>
      </c>
      <c r="Z23" s="74">
        <f t="shared" si="17"/>
        <v>0</v>
      </c>
      <c r="AA23" s="74">
        <f t="shared" si="17"/>
        <v>0</v>
      </c>
      <c r="AB23" s="78">
        <f t="shared" si="17"/>
        <v>1.9125000000000001</v>
      </c>
      <c r="AC23" s="78">
        <f t="shared" si="17"/>
        <v>11.918200000000001</v>
      </c>
      <c r="AD23" s="75">
        <f t="shared" si="17"/>
        <v>16566298</v>
      </c>
      <c r="AE23" s="74">
        <f t="shared" si="17"/>
        <v>0</v>
      </c>
    </row>
    <row r="24" spans="1:31" ht="36.75" customHeight="1" x14ac:dyDescent="0.25">
      <c r="A24" s="51">
        <v>1</v>
      </c>
      <c r="B24" s="160" t="s">
        <v>72</v>
      </c>
      <c r="C24" s="160"/>
      <c r="D24" s="161">
        <v>3.99</v>
      </c>
      <c r="E24" s="162"/>
      <c r="F24" s="162"/>
      <c r="G24" s="162">
        <f>(D24+E24+F24)*15/100</f>
        <v>0.59850000000000003</v>
      </c>
      <c r="H24" s="162"/>
      <c r="I24" s="182">
        <f>(D24+E24+F24)*25/100</f>
        <v>0.99750000000000005</v>
      </c>
      <c r="J24" s="182">
        <f>SUM(D24:I24)</f>
        <v>5.5860000000000003</v>
      </c>
      <c r="K24" s="183">
        <f>J24*$B$6</f>
        <v>7764540</v>
      </c>
      <c r="L24" s="162"/>
      <c r="M24" s="164"/>
      <c r="N24" s="162"/>
      <c r="O24" s="162"/>
      <c r="P24" s="162"/>
      <c r="Q24" s="162"/>
      <c r="R24" s="162"/>
      <c r="S24" s="165"/>
      <c r="T24" s="163"/>
      <c r="U24" s="166" t="s">
        <v>34</v>
      </c>
      <c r="V24" s="167">
        <f>D24</f>
        <v>3.99</v>
      </c>
      <c r="W24" s="167">
        <f>E24</f>
        <v>0</v>
      </c>
      <c r="X24" s="167">
        <f>F24</f>
        <v>0</v>
      </c>
      <c r="Y24" s="167">
        <f>G24</f>
        <v>0.59850000000000003</v>
      </c>
      <c r="Z24" s="167"/>
      <c r="AA24" s="167"/>
      <c r="AB24" s="167">
        <f>I24</f>
        <v>0.99750000000000005</v>
      </c>
      <c r="AC24" s="184">
        <f>SUM(V24:AB24)</f>
        <v>5.5860000000000003</v>
      </c>
      <c r="AD24" s="185">
        <f>AC24*$B$6</f>
        <v>7764540</v>
      </c>
      <c r="AE24" s="168" t="s">
        <v>74</v>
      </c>
    </row>
    <row r="25" spans="1:31" ht="36.75" customHeight="1" x14ac:dyDescent="0.25">
      <c r="A25" s="96">
        <v>2</v>
      </c>
      <c r="B25" s="79" t="s">
        <v>87</v>
      </c>
      <c r="C25" s="79"/>
      <c r="D25" s="179">
        <v>3.66</v>
      </c>
      <c r="E25" s="82"/>
      <c r="F25" s="82"/>
      <c r="G25" s="82"/>
      <c r="H25" s="82"/>
      <c r="I25" s="80">
        <f>(D25+E25+F25)*25/100</f>
        <v>0.91500000000000004</v>
      </c>
      <c r="J25" s="80">
        <f>SUM(D25:I25)</f>
        <v>4.5750000000000002</v>
      </c>
      <c r="K25" s="76">
        <f>J25*$B$6</f>
        <v>6359250</v>
      </c>
      <c r="L25" s="82"/>
      <c r="M25" s="180">
        <v>3.66</v>
      </c>
      <c r="N25" s="82"/>
      <c r="O25" s="82"/>
      <c r="P25" s="82"/>
      <c r="Q25" s="82"/>
      <c r="R25" s="82"/>
      <c r="S25" s="64">
        <f>SUM(M25:R25)</f>
        <v>3.66</v>
      </c>
      <c r="T25" s="83">
        <f>S25*1390000</f>
        <v>5087400</v>
      </c>
      <c r="U25" s="60" t="s">
        <v>80</v>
      </c>
      <c r="V25" s="85"/>
      <c r="W25" s="85"/>
      <c r="X25" s="85"/>
      <c r="Y25" s="85"/>
      <c r="Z25" s="85"/>
      <c r="AA25" s="85"/>
      <c r="AB25" s="85">
        <f>I25</f>
        <v>0.91500000000000004</v>
      </c>
      <c r="AC25" s="186">
        <f>SUM(V25:AB25)</f>
        <v>0.91500000000000004</v>
      </c>
      <c r="AD25" s="187">
        <f>AC25*$B$6</f>
        <v>1271850</v>
      </c>
      <c r="AE25" s="181" t="s">
        <v>88</v>
      </c>
    </row>
    <row r="26" spans="1:31" ht="36.75" customHeight="1" x14ac:dyDescent="0.25">
      <c r="A26" s="149">
        <v>3</v>
      </c>
      <c r="B26" s="150" t="s">
        <v>77</v>
      </c>
      <c r="C26" s="150"/>
      <c r="D26" s="151">
        <v>4.32</v>
      </c>
      <c r="E26" s="152"/>
      <c r="F26" s="152">
        <v>0.35</v>
      </c>
      <c r="G26" s="152">
        <f>(D26+E26+F26)*16/100</f>
        <v>0.74719999999999998</v>
      </c>
      <c r="H26" s="152"/>
      <c r="I26" s="152">
        <f>(D26+E26+F26)*25/100</f>
        <v>1.1675</v>
      </c>
      <c r="J26" s="152">
        <f>SUM(D26:I26)</f>
        <v>6.5846999999999998</v>
      </c>
      <c r="K26" s="153">
        <f>J26*$B$6</f>
        <v>9152733</v>
      </c>
      <c r="L26" s="152"/>
      <c r="M26" s="154"/>
      <c r="N26" s="152"/>
      <c r="O26" s="152"/>
      <c r="P26" s="152"/>
      <c r="Q26" s="152"/>
      <c r="R26" s="152"/>
      <c r="S26" s="155"/>
      <c r="T26" s="153"/>
      <c r="U26" s="156" t="s">
        <v>34</v>
      </c>
      <c r="V26" s="157">
        <f>D26</f>
        <v>4.32</v>
      </c>
      <c r="W26" s="157"/>
      <c r="X26" s="157">
        <f>F26</f>
        <v>0.35</v>
      </c>
      <c r="Y26" s="157">
        <f>G26</f>
        <v>0.74719999999999998</v>
      </c>
      <c r="Z26" s="157"/>
      <c r="AA26" s="157"/>
      <c r="AB26" s="157"/>
      <c r="AC26" s="157">
        <f>SUM(V26:AB26)</f>
        <v>5.4172000000000002</v>
      </c>
      <c r="AD26" s="158">
        <f>AC26*$B$6</f>
        <v>7529908</v>
      </c>
      <c r="AE26" s="159" t="s">
        <v>78</v>
      </c>
    </row>
    <row r="27" spans="1:31" ht="48" customHeight="1" x14ac:dyDescent="0.25">
      <c r="A27" s="142"/>
      <c r="B27" s="143" t="s">
        <v>33</v>
      </c>
      <c r="C27" s="143"/>
      <c r="D27" s="144">
        <f>SUM(D28:D30)</f>
        <v>8</v>
      </c>
      <c r="E27" s="144">
        <f t="shared" ref="E27:AD27" si="18">SUM(E28:E30)</f>
        <v>0</v>
      </c>
      <c r="F27" s="144">
        <f t="shared" si="18"/>
        <v>0</v>
      </c>
      <c r="G27" s="144">
        <f t="shared" si="18"/>
        <v>0</v>
      </c>
      <c r="H27" s="144">
        <f t="shared" si="18"/>
        <v>0</v>
      </c>
      <c r="I27" s="145">
        <f t="shared" si="18"/>
        <v>0.66749999999999998</v>
      </c>
      <c r="J27" s="145">
        <f t="shared" si="18"/>
        <v>8.6675000000000004</v>
      </c>
      <c r="K27" s="146">
        <f t="shared" si="18"/>
        <v>12047825</v>
      </c>
      <c r="L27" s="144">
        <f t="shared" si="18"/>
        <v>0</v>
      </c>
      <c r="M27" s="144">
        <f t="shared" si="18"/>
        <v>0</v>
      </c>
      <c r="N27" s="144">
        <f t="shared" si="18"/>
        <v>0</v>
      </c>
      <c r="O27" s="144">
        <f t="shared" si="18"/>
        <v>0</v>
      </c>
      <c r="P27" s="144">
        <f t="shared" si="18"/>
        <v>0</v>
      </c>
      <c r="Q27" s="144">
        <f t="shared" si="18"/>
        <v>0</v>
      </c>
      <c r="R27" s="144">
        <f t="shared" si="18"/>
        <v>0</v>
      </c>
      <c r="S27" s="144">
        <f t="shared" si="18"/>
        <v>0</v>
      </c>
      <c r="T27" s="144">
        <f t="shared" si="18"/>
        <v>0</v>
      </c>
      <c r="U27" s="144">
        <f t="shared" si="18"/>
        <v>0</v>
      </c>
      <c r="V27" s="144">
        <f t="shared" si="18"/>
        <v>8</v>
      </c>
      <c r="W27" s="144">
        <f t="shared" si="18"/>
        <v>0</v>
      </c>
      <c r="X27" s="144">
        <f t="shared" si="18"/>
        <v>0</v>
      </c>
      <c r="Y27" s="144">
        <f t="shared" si="18"/>
        <v>0</v>
      </c>
      <c r="Z27" s="144">
        <f t="shared" si="18"/>
        <v>0</v>
      </c>
      <c r="AA27" s="144">
        <f t="shared" si="18"/>
        <v>0</v>
      </c>
      <c r="AB27" s="145">
        <f t="shared" si="18"/>
        <v>0.66749999999999998</v>
      </c>
      <c r="AC27" s="145">
        <f t="shared" si="18"/>
        <v>8.6675000000000004</v>
      </c>
      <c r="AD27" s="146">
        <f t="shared" si="18"/>
        <v>12047825</v>
      </c>
      <c r="AE27" s="147"/>
    </row>
    <row r="28" spans="1:31" ht="30.75" customHeight="1" x14ac:dyDescent="0.25">
      <c r="A28" s="172">
        <v>1</v>
      </c>
      <c r="B28" s="160" t="s">
        <v>73</v>
      </c>
      <c r="C28" s="160"/>
      <c r="D28" s="164">
        <v>2.67</v>
      </c>
      <c r="E28" s="164"/>
      <c r="F28" s="164"/>
      <c r="G28" s="162"/>
      <c r="H28" s="173"/>
      <c r="I28" s="162">
        <f>(D28+E28+F28)*25/100</f>
        <v>0.66749999999999998</v>
      </c>
      <c r="J28" s="162">
        <f>SUM(D28:I28)</f>
        <v>3.3374999999999999</v>
      </c>
      <c r="K28" s="163">
        <f>J28*$B$6</f>
        <v>4639125</v>
      </c>
      <c r="L28" s="164"/>
      <c r="M28" s="164"/>
      <c r="N28" s="164"/>
      <c r="O28" s="164"/>
      <c r="P28" s="164"/>
      <c r="Q28" s="173"/>
      <c r="R28" s="162"/>
      <c r="S28" s="162"/>
      <c r="T28" s="163"/>
      <c r="U28" s="166" t="s">
        <v>34</v>
      </c>
      <c r="V28" s="174">
        <f>D28</f>
        <v>2.67</v>
      </c>
      <c r="W28" s="164"/>
      <c r="X28" s="164"/>
      <c r="Y28" s="162"/>
      <c r="Z28" s="164"/>
      <c r="AA28" s="164"/>
      <c r="AB28" s="162">
        <f>I28</f>
        <v>0.66749999999999998</v>
      </c>
      <c r="AC28" s="174">
        <f>SUM(V28:AB28)</f>
        <v>3.3374999999999999</v>
      </c>
      <c r="AD28" s="163">
        <f>AC28*$B$6</f>
        <v>4639125</v>
      </c>
      <c r="AE28" s="175" t="s">
        <v>75</v>
      </c>
    </row>
    <row r="29" spans="1:31" ht="30.75" customHeight="1" x14ac:dyDescent="0.25">
      <c r="A29" s="176">
        <v>2</v>
      </c>
      <c r="B29" s="77" t="s">
        <v>79</v>
      </c>
      <c r="C29" s="77"/>
      <c r="D29" s="88">
        <v>2.67</v>
      </c>
      <c r="E29" s="88"/>
      <c r="F29" s="88"/>
      <c r="G29" s="80"/>
      <c r="H29" s="88"/>
      <c r="I29" s="80"/>
      <c r="J29" s="80">
        <f t="shared" ref="J29:J30" si="19">SUM(D29:I29)</f>
        <v>2.67</v>
      </c>
      <c r="K29" s="76">
        <f t="shared" ref="K29:K30" si="20">J29*$B$6</f>
        <v>3711300</v>
      </c>
      <c r="L29" s="88"/>
      <c r="M29" s="88"/>
      <c r="N29" s="88"/>
      <c r="O29" s="88"/>
      <c r="P29" s="88"/>
      <c r="Q29" s="88"/>
      <c r="R29" s="80"/>
      <c r="S29" s="80"/>
      <c r="T29" s="76"/>
      <c r="U29" s="177" t="s">
        <v>80</v>
      </c>
      <c r="V29" s="178">
        <f>D29</f>
        <v>2.67</v>
      </c>
      <c r="W29" s="88"/>
      <c r="X29" s="88"/>
      <c r="Y29" s="80"/>
      <c r="Z29" s="88"/>
      <c r="AA29" s="88"/>
      <c r="AB29" s="80"/>
      <c r="AC29" s="178">
        <f t="shared" ref="AC29:AC30" si="21">SUM(V29:AB29)</f>
        <v>2.67</v>
      </c>
      <c r="AD29" s="76">
        <f t="shared" ref="AD29:AD30" si="22">AC29*$B$6</f>
        <v>3711300</v>
      </c>
      <c r="AE29" s="140" t="s">
        <v>78</v>
      </c>
    </row>
    <row r="30" spans="1:31" ht="30.75" customHeight="1" x14ac:dyDescent="0.25">
      <c r="A30" s="169">
        <v>3</v>
      </c>
      <c r="B30" s="150" t="s">
        <v>81</v>
      </c>
      <c r="C30" s="150"/>
      <c r="D30" s="154">
        <v>2.66</v>
      </c>
      <c r="E30" s="154"/>
      <c r="F30" s="154"/>
      <c r="G30" s="152"/>
      <c r="H30" s="154"/>
      <c r="I30" s="152"/>
      <c r="J30" s="152">
        <f t="shared" si="19"/>
        <v>2.66</v>
      </c>
      <c r="K30" s="153">
        <f t="shared" si="20"/>
        <v>3697400</v>
      </c>
      <c r="L30" s="154"/>
      <c r="M30" s="154"/>
      <c r="N30" s="154"/>
      <c r="O30" s="154"/>
      <c r="P30" s="154"/>
      <c r="Q30" s="154"/>
      <c r="R30" s="152"/>
      <c r="S30" s="152"/>
      <c r="T30" s="153"/>
      <c r="U30" s="156" t="s">
        <v>82</v>
      </c>
      <c r="V30" s="170">
        <f>D30</f>
        <v>2.66</v>
      </c>
      <c r="W30" s="154"/>
      <c r="X30" s="154"/>
      <c r="Y30" s="152"/>
      <c r="Z30" s="154"/>
      <c r="AA30" s="154"/>
      <c r="AB30" s="152"/>
      <c r="AC30" s="170">
        <f t="shared" si="21"/>
        <v>2.66</v>
      </c>
      <c r="AD30" s="153">
        <f t="shared" si="22"/>
        <v>3697400</v>
      </c>
      <c r="AE30" s="171" t="s">
        <v>83</v>
      </c>
    </row>
    <row r="31" spans="1:31" ht="12.75" customHeight="1" x14ac:dyDescent="0.25">
      <c r="A31" s="43"/>
      <c r="B31" s="42"/>
      <c r="C31" s="8"/>
      <c r="D31" s="9"/>
      <c r="E31" s="10"/>
      <c r="F31" s="11"/>
      <c r="G31" s="22"/>
      <c r="H31" s="22"/>
      <c r="I31" s="22"/>
      <c r="J31" s="23"/>
      <c r="K31" s="24"/>
      <c r="L31" s="12"/>
      <c r="M31" s="13"/>
      <c r="N31" s="13"/>
      <c r="O31" s="7"/>
      <c r="P31" s="7"/>
      <c r="Q31" s="14"/>
      <c r="R31" s="18"/>
      <c r="S31" s="18"/>
      <c r="T31" s="18"/>
      <c r="U31" s="18"/>
      <c r="V31" s="15"/>
      <c r="W31" s="6"/>
      <c r="X31" s="33"/>
      <c r="Y31" s="44"/>
      <c r="Z31" s="44"/>
      <c r="AA31" s="44"/>
      <c r="AB31" s="44"/>
      <c r="AC31" s="44"/>
      <c r="AD31" s="44"/>
      <c r="AE31" s="18"/>
    </row>
    <row r="32" spans="1:31" ht="15.75" x14ac:dyDescent="0.25">
      <c r="A32" s="43"/>
      <c r="B32" s="42"/>
      <c r="C32" s="8"/>
      <c r="D32" s="9"/>
      <c r="E32" s="10"/>
      <c r="F32" s="11"/>
      <c r="G32" s="22"/>
      <c r="H32" s="22"/>
      <c r="I32" s="22"/>
      <c r="J32" s="23"/>
      <c r="K32" s="24"/>
      <c r="L32" s="12"/>
      <c r="M32" s="13"/>
      <c r="N32" s="13"/>
      <c r="O32" s="7"/>
      <c r="P32" s="7"/>
      <c r="Q32" s="14"/>
      <c r="R32" s="18"/>
      <c r="S32" s="18"/>
      <c r="T32" s="18"/>
      <c r="U32" s="18"/>
      <c r="V32" s="15"/>
      <c r="W32" s="6"/>
      <c r="X32" s="33"/>
      <c r="Y32" s="44"/>
      <c r="Z32" s="44"/>
      <c r="AA32" s="301" t="s">
        <v>76</v>
      </c>
      <c r="AB32" s="301"/>
      <c r="AC32" s="301"/>
      <c r="AD32" s="301"/>
      <c r="AE32" s="301"/>
    </row>
    <row r="33" spans="1:31" ht="15.75" x14ac:dyDescent="0.25">
      <c r="A33" s="43"/>
      <c r="B33" s="291" t="s">
        <v>37</v>
      </c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T33" s="291"/>
      <c r="U33" s="291"/>
      <c r="V33" s="3"/>
      <c r="W33" s="291" t="s">
        <v>38</v>
      </c>
      <c r="X33" s="291"/>
      <c r="Y33" s="291"/>
      <c r="Z33" s="291"/>
      <c r="AA33" s="302" t="s">
        <v>39</v>
      </c>
      <c r="AB33" s="302"/>
      <c r="AC33" s="302"/>
      <c r="AD33" s="302"/>
      <c r="AE33" s="302"/>
    </row>
    <row r="34" spans="1:31" ht="15.75" x14ac:dyDescent="0.25">
      <c r="A34" s="43"/>
      <c r="B34" s="2"/>
      <c r="C34" s="2"/>
      <c r="D34" s="2"/>
      <c r="E34" s="2"/>
      <c r="F34" s="2"/>
      <c r="G34" s="4"/>
      <c r="H34" s="4"/>
      <c r="I34" s="2"/>
      <c r="J34" s="2"/>
      <c r="K34" s="4"/>
      <c r="L34" s="2"/>
      <c r="M34" s="2"/>
      <c r="N34" s="2"/>
      <c r="O34" s="2"/>
      <c r="P34" s="2"/>
      <c r="Q34" s="2"/>
      <c r="R34" s="2"/>
      <c r="S34" s="123"/>
      <c r="T34" s="123"/>
      <c r="U34" s="123"/>
      <c r="V34" s="25"/>
      <c r="W34" s="123"/>
      <c r="X34" s="122"/>
      <c r="Y34" s="2"/>
      <c r="Z34" s="2"/>
      <c r="AA34" s="2"/>
      <c r="AB34" s="122"/>
      <c r="AC34" s="47"/>
      <c r="AD34" s="47"/>
      <c r="AE34" s="4"/>
    </row>
    <row r="35" spans="1:31" ht="15.75" x14ac:dyDescent="0.25">
      <c r="A35" s="43"/>
      <c r="B35" s="2"/>
      <c r="C35" s="2"/>
      <c r="D35" s="2"/>
      <c r="E35" s="2"/>
      <c r="F35" s="2"/>
      <c r="G35" s="4"/>
      <c r="H35" s="4"/>
      <c r="I35" s="2"/>
      <c r="J35" s="2"/>
      <c r="K35" s="4"/>
      <c r="L35" s="2"/>
      <c r="M35" s="2"/>
      <c r="N35" s="2"/>
      <c r="O35" s="2"/>
      <c r="P35" s="2"/>
      <c r="Q35" s="2"/>
      <c r="R35" s="2"/>
      <c r="S35" s="123"/>
      <c r="T35" s="25"/>
      <c r="U35" s="25"/>
      <c r="V35" s="2"/>
      <c r="W35" s="2"/>
      <c r="X35" s="2"/>
      <c r="Y35" s="48"/>
      <c r="Z35" s="2"/>
      <c r="AA35" s="2"/>
      <c r="AB35" s="2"/>
      <c r="AC35" s="41"/>
      <c r="AD35" s="41"/>
      <c r="AE35" s="3"/>
    </row>
    <row r="36" spans="1:31" ht="15.75" x14ac:dyDescent="0.25">
      <c r="A36" s="43"/>
      <c r="B36" s="2"/>
      <c r="C36" s="2"/>
      <c r="D36" s="2"/>
      <c r="E36" s="2"/>
      <c r="F36" s="2"/>
      <c r="G36" s="4"/>
      <c r="H36" s="4"/>
      <c r="I36" s="2"/>
      <c r="J36" s="2"/>
      <c r="K36" s="4"/>
      <c r="L36" s="2"/>
      <c r="M36" s="2"/>
      <c r="N36" s="2"/>
      <c r="O36" s="2"/>
      <c r="P36" s="2"/>
      <c r="Q36" s="2"/>
      <c r="R36" s="2"/>
      <c r="S36" s="2"/>
      <c r="T36" s="25"/>
      <c r="U36" s="25"/>
      <c r="V36" s="2"/>
      <c r="W36" s="2"/>
      <c r="X36" s="2"/>
      <c r="Y36" s="48"/>
      <c r="Z36" s="2"/>
      <c r="AA36" s="2"/>
      <c r="AB36" s="2"/>
      <c r="AC36" s="41"/>
      <c r="AD36" s="41"/>
      <c r="AE36" s="3"/>
    </row>
    <row r="37" spans="1:31" ht="15.75" x14ac:dyDescent="0.25">
      <c r="A37" s="43"/>
      <c r="B37" s="2"/>
      <c r="C37" s="2"/>
      <c r="D37" s="2"/>
      <c r="E37" s="2"/>
      <c r="F37" s="2"/>
      <c r="G37" s="4"/>
      <c r="H37" s="4"/>
      <c r="I37" s="2"/>
      <c r="J37" s="2"/>
      <c r="K37" s="4"/>
      <c r="L37" s="2"/>
      <c r="M37" s="2"/>
      <c r="N37" s="2"/>
      <c r="O37" s="2"/>
      <c r="P37" s="2"/>
      <c r="Q37" s="2"/>
      <c r="R37" s="2"/>
      <c r="S37" s="2"/>
      <c r="T37" s="25"/>
      <c r="U37" s="25"/>
      <c r="V37" s="2"/>
      <c r="W37" s="2"/>
      <c r="X37" s="2"/>
      <c r="Y37" s="48"/>
      <c r="Z37" s="2"/>
      <c r="AA37" s="2"/>
      <c r="AB37" s="2"/>
      <c r="AC37" s="41"/>
      <c r="AD37" s="41"/>
      <c r="AE37" s="3"/>
    </row>
    <row r="38" spans="1:31" ht="15.75" x14ac:dyDescent="0.25">
      <c r="A38" s="43"/>
      <c r="B38" s="2"/>
      <c r="C38" s="2"/>
      <c r="D38" s="2"/>
      <c r="E38" s="2"/>
      <c r="F38" s="2"/>
      <c r="G38" s="4"/>
      <c r="H38" s="4"/>
      <c r="I38" s="2"/>
      <c r="J38" s="2"/>
      <c r="K38" s="4"/>
      <c r="L38" s="2"/>
      <c r="M38" s="2"/>
      <c r="N38" s="2"/>
      <c r="O38" s="2"/>
      <c r="P38" s="2"/>
      <c r="Q38" s="2"/>
      <c r="R38" s="2"/>
      <c r="S38" s="2"/>
      <c r="T38" s="25"/>
      <c r="U38" s="25"/>
      <c r="V38" s="2"/>
      <c r="W38" s="2"/>
      <c r="X38" s="2"/>
      <c r="Y38" s="2"/>
      <c r="Z38" s="2"/>
      <c r="AA38" s="2"/>
      <c r="AB38" s="2"/>
      <c r="AC38" s="41"/>
      <c r="AD38" s="41"/>
      <c r="AE38" s="4"/>
    </row>
    <row r="39" spans="1:31" ht="15.75" x14ac:dyDescent="0.25">
      <c r="A39" s="43"/>
      <c r="B39" s="291" t="s">
        <v>40</v>
      </c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"/>
      <c r="W39" s="291" t="s">
        <v>41</v>
      </c>
      <c r="X39" s="291"/>
      <c r="Y39" s="291"/>
      <c r="Z39" s="291"/>
      <c r="AA39" s="291" t="s">
        <v>42</v>
      </c>
      <c r="AB39" s="291"/>
      <c r="AC39" s="291"/>
      <c r="AD39" s="291"/>
      <c r="AE39" s="291"/>
    </row>
    <row r="40" spans="1:31" ht="15.75" x14ac:dyDescent="0.25">
      <c r="A40" s="43"/>
      <c r="B40" s="2"/>
      <c r="C40" s="2"/>
      <c r="D40" s="2"/>
      <c r="E40" s="2"/>
      <c r="F40" s="2"/>
      <c r="G40" s="4"/>
      <c r="H40" s="4"/>
      <c r="I40" s="2"/>
      <c r="J40" s="2"/>
      <c r="K40" s="4"/>
      <c r="L40" s="2"/>
      <c r="M40" s="2"/>
      <c r="N40" s="2"/>
      <c r="O40" s="2"/>
      <c r="P40" s="2"/>
      <c r="Q40" s="2"/>
      <c r="R40" s="2"/>
      <c r="S40" s="2"/>
      <c r="T40" s="25"/>
      <c r="U40" s="25"/>
      <c r="V40" s="2"/>
      <c r="W40" s="6"/>
      <c r="X40" s="33"/>
      <c r="Y40" s="2"/>
      <c r="Z40" s="2"/>
      <c r="AA40" s="2"/>
      <c r="AB40" s="2"/>
      <c r="AC40" s="2"/>
      <c r="AD40" s="2"/>
      <c r="AE40" s="2"/>
    </row>
  </sheetData>
  <mergeCells count="20">
    <mergeCell ref="B39:U39"/>
    <mergeCell ref="W39:Z39"/>
    <mergeCell ref="AA39:AE39"/>
    <mergeCell ref="A7:A8"/>
    <mergeCell ref="B7:B8"/>
    <mergeCell ref="C7:K7"/>
    <mergeCell ref="L7:T7"/>
    <mergeCell ref="U7:U8"/>
    <mergeCell ref="V7:AD7"/>
    <mergeCell ref="AE7:AE8"/>
    <mergeCell ref="AA32:AE32"/>
    <mergeCell ref="B33:U33"/>
    <mergeCell ref="W33:Z33"/>
    <mergeCell ref="AA33:AE33"/>
    <mergeCell ref="A5:AE5"/>
    <mergeCell ref="A1:U1"/>
    <mergeCell ref="AA1:AE1"/>
    <mergeCell ref="A2:U2"/>
    <mergeCell ref="AA2:AE2"/>
    <mergeCell ref="A3:U3"/>
  </mergeCells>
  <pageMargins left="0.23622047244094491" right="0.19685039370078741" top="0.43307086614173229" bottom="0.28000000000000003" header="0.31496062992125984" footer="0.19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topLeftCell="A16" workbookViewId="0">
      <selection activeCell="AE34" sqref="AE34"/>
    </sheetView>
  </sheetViews>
  <sheetFormatPr defaultRowHeight="15" x14ac:dyDescent="0.25"/>
  <cols>
    <col min="1" max="1" width="6" style="1" customWidth="1"/>
    <col min="2" max="2" width="20.42578125" style="1" customWidth="1"/>
    <col min="3" max="6" width="9.140625" style="1" hidden="1" customWidth="1"/>
    <col min="7" max="7" width="10" style="1" hidden="1" customWidth="1"/>
    <col min="8" max="8" width="9.140625" style="1" hidden="1" customWidth="1"/>
    <col min="9" max="9" width="11.28515625" style="1" hidden="1" customWidth="1"/>
    <col min="10" max="10" width="10.7109375" style="1" hidden="1" customWidth="1"/>
    <col min="11" max="11" width="14.5703125" style="1" hidden="1" customWidth="1"/>
    <col min="12" max="12" width="9.140625" style="1" hidden="1" customWidth="1"/>
    <col min="13" max="13" width="10" style="1" hidden="1" customWidth="1"/>
    <col min="14" max="15" width="9.140625" style="1" hidden="1" customWidth="1"/>
    <col min="16" max="16" width="11.42578125" style="1" hidden="1" customWidth="1"/>
    <col min="17" max="17" width="9.140625" style="1" hidden="1" customWidth="1"/>
    <col min="18" max="18" width="11.5703125" style="1" hidden="1" customWidth="1"/>
    <col min="19" max="19" width="10.5703125" style="1" hidden="1" customWidth="1"/>
    <col min="20" max="20" width="15" style="1" hidden="1" customWidth="1"/>
    <col min="21" max="21" width="11.85546875" style="1" customWidth="1"/>
    <col min="22" max="22" width="9.5703125" style="1" bestFit="1" customWidth="1"/>
    <col min="23" max="23" width="9.140625" style="1"/>
    <col min="24" max="24" width="9" style="1" customWidth="1"/>
    <col min="25" max="25" width="9.5703125" style="1" bestFit="1" customWidth="1"/>
    <col min="26" max="28" width="9.140625" style="1"/>
    <col min="29" max="29" width="9.5703125" style="1" bestFit="1" customWidth="1"/>
    <col min="30" max="30" width="15.42578125" style="1" bestFit="1" customWidth="1"/>
    <col min="31" max="31" width="12.285156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89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.75" x14ac:dyDescent="0.25">
      <c r="A6" s="2"/>
      <c r="B6" s="54">
        <v>1390000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91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5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26</v>
      </c>
      <c r="AE9" s="27" t="s">
        <v>27</v>
      </c>
    </row>
    <row r="10" spans="1:31" ht="27.75" customHeight="1" x14ac:dyDescent="0.25">
      <c r="A10" s="34" t="s">
        <v>28</v>
      </c>
      <c r="B10" s="32"/>
      <c r="C10" s="31"/>
      <c r="D10" s="49">
        <f t="shared" ref="D10:AD10" si="0">D11+D19</f>
        <v>73.47</v>
      </c>
      <c r="E10" s="49">
        <f t="shared" si="0"/>
        <v>1.3515000000000001</v>
      </c>
      <c r="F10" s="49">
        <f t="shared" si="0"/>
        <v>4.3500000000000005</v>
      </c>
      <c r="G10" s="50">
        <f t="shared" si="0"/>
        <v>10.193618000000001</v>
      </c>
      <c r="H10" s="49">
        <f t="shared" si="0"/>
        <v>0</v>
      </c>
      <c r="I10" s="50">
        <f t="shared" si="0"/>
        <v>15.16925</v>
      </c>
      <c r="J10" s="50">
        <f t="shared" si="0"/>
        <v>104.534368</v>
      </c>
      <c r="K10" s="62">
        <f t="shared" si="0"/>
        <v>145302771.52000001</v>
      </c>
      <c r="L10" s="49">
        <f t="shared" si="0"/>
        <v>0</v>
      </c>
      <c r="M10" s="49">
        <f t="shared" si="0"/>
        <v>84.957999999999998</v>
      </c>
      <c r="N10" s="50">
        <f t="shared" si="0"/>
        <v>1.4416000000000002</v>
      </c>
      <c r="O10" s="49">
        <f t="shared" si="0"/>
        <v>4.3500000000000005</v>
      </c>
      <c r="P10" s="50">
        <f t="shared" si="0"/>
        <v>11.162845999999998</v>
      </c>
      <c r="Q10" s="49">
        <f t="shared" si="0"/>
        <v>0</v>
      </c>
      <c r="R10" s="50">
        <f t="shared" si="0"/>
        <v>16.991199999999999</v>
      </c>
      <c r="S10" s="50">
        <f t="shared" si="0"/>
        <v>118.90364599999998</v>
      </c>
      <c r="T10" s="62">
        <f t="shared" si="0"/>
        <v>165276067.94</v>
      </c>
      <c r="U10" s="49">
        <f t="shared" si="0"/>
        <v>0</v>
      </c>
      <c r="V10" s="49">
        <f t="shared" si="0"/>
        <v>11.488000000000001</v>
      </c>
      <c r="W10" s="50">
        <f t="shared" si="0"/>
        <v>9.0100000000000013E-2</v>
      </c>
      <c r="X10" s="49">
        <f t="shared" si="0"/>
        <v>0</v>
      </c>
      <c r="Y10" s="50">
        <f t="shared" si="0"/>
        <v>0.96922800000000042</v>
      </c>
      <c r="Z10" s="49">
        <f t="shared" si="0"/>
        <v>0</v>
      </c>
      <c r="AA10" s="49">
        <f t="shared" si="0"/>
        <v>0</v>
      </c>
      <c r="AB10" s="50">
        <f t="shared" si="0"/>
        <v>1.8220500000000002</v>
      </c>
      <c r="AC10" s="50">
        <f t="shared" si="0"/>
        <v>14.369278000000001</v>
      </c>
      <c r="AD10" s="62">
        <f t="shared" si="0"/>
        <v>19973296.420000002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 t="shared" ref="D11:AD11" si="1">SUM(D12:D18)</f>
        <v>33.94</v>
      </c>
      <c r="E11" s="53">
        <f t="shared" si="1"/>
        <v>0.74700000000000011</v>
      </c>
      <c r="F11" s="53">
        <f t="shared" si="1"/>
        <v>2.7500000000000004</v>
      </c>
      <c r="G11" s="61">
        <f t="shared" si="1"/>
        <v>7.8850180000000005</v>
      </c>
      <c r="H11" s="53">
        <f t="shared" si="1"/>
        <v>0</v>
      </c>
      <c r="I11" s="61">
        <f t="shared" si="1"/>
        <v>8.1092499999999994</v>
      </c>
      <c r="J11" s="61">
        <f t="shared" si="1"/>
        <v>53.431268000000003</v>
      </c>
      <c r="K11" s="121">
        <f t="shared" si="1"/>
        <v>74269462.520000011</v>
      </c>
      <c r="L11" s="53">
        <f t="shared" si="1"/>
        <v>0</v>
      </c>
      <c r="M11" s="53">
        <f t="shared" si="1"/>
        <v>35.6</v>
      </c>
      <c r="N11" s="61">
        <f t="shared" si="1"/>
        <v>0.79680000000000017</v>
      </c>
      <c r="O11" s="53">
        <f t="shared" si="1"/>
        <v>2.7500000000000004</v>
      </c>
      <c r="P11" s="61">
        <f t="shared" si="1"/>
        <v>8.2386459999999992</v>
      </c>
      <c r="Q11" s="53">
        <f t="shared" si="1"/>
        <v>0</v>
      </c>
      <c r="R11" s="61">
        <f t="shared" si="1"/>
        <v>8.4542000000000002</v>
      </c>
      <c r="S11" s="61">
        <f t="shared" si="1"/>
        <v>55.839645999999995</v>
      </c>
      <c r="T11" s="121">
        <f t="shared" si="1"/>
        <v>77617107.939999998</v>
      </c>
      <c r="U11" s="53">
        <f t="shared" si="1"/>
        <v>0</v>
      </c>
      <c r="V11" s="53">
        <f t="shared" si="1"/>
        <v>1.6600000000000001</v>
      </c>
      <c r="W11" s="61">
        <f t="shared" si="1"/>
        <v>4.9800000000000011E-2</v>
      </c>
      <c r="X11" s="53">
        <f t="shared" si="1"/>
        <v>0</v>
      </c>
      <c r="Y11" s="61">
        <f t="shared" si="1"/>
        <v>0.35362800000000028</v>
      </c>
      <c r="Z11" s="53">
        <f t="shared" si="1"/>
        <v>0</v>
      </c>
      <c r="AA11" s="53">
        <f t="shared" si="1"/>
        <v>0</v>
      </c>
      <c r="AB11" s="61">
        <f>SUM(AB12:AB18)+0.0001</f>
        <v>0.34504999999999986</v>
      </c>
      <c r="AC11" s="61">
        <f t="shared" si="1"/>
        <v>2.4083780000000004</v>
      </c>
      <c r="AD11" s="121">
        <f t="shared" si="1"/>
        <v>3347645.4200000009</v>
      </c>
      <c r="AE11" s="51"/>
    </row>
    <row r="12" spans="1:31" ht="32.25" customHeight="1" x14ac:dyDescent="0.25">
      <c r="A12" s="96">
        <v>1</v>
      </c>
      <c r="B12" s="97" t="s">
        <v>42</v>
      </c>
      <c r="C12" s="96"/>
      <c r="D12" s="98">
        <v>4.9800000000000004</v>
      </c>
      <c r="E12" s="98">
        <f>D12*9/100</f>
        <v>0.4482000000000001</v>
      </c>
      <c r="F12" s="98">
        <v>0.9</v>
      </c>
      <c r="G12" s="99">
        <f>(D12+E12+F12)*31/100</f>
        <v>1.9617420000000001</v>
      </c>
      <c r="H12" s="98"/>
      <c r="I12" s="99">
        <f>(D12+E12+F12)*25/100</f>
        <v>1.5820500000000002</v>
      </c>
      <c r="J12" s="99">
        <f>SUM(D12:I12)</f>
        <v>9.8719920000000005</v>
      </c>
      <c r="K12" s="100">
        <f>J12*$B$6</f>
        <v>13722068.880000001</v>
      </c>
      <c r="L12" s="98"/>
      <c r="M12" s="98">
        <v>4.9800000000000004</v>
      </c>
      <c r="N12" s="98">
        <f>M12*9/100</f>
        <v>0.4482000000000001</v>
      </c>
      <c r="O12" s="98">
        <v>0.9</v>
      </c>
      <c r="P12" s="99">
        <f>(M12+N12+O12)*32/100</f>
        <v>2.0250240000000002</v>
      </c>
      <c r="Q12" s="98"/>
      <c r="R12" s="99">
        <f>(M12+N12+O12)*25/100</f>
        <v>1.5820500000000002</v>
      </c>
      <c r="S12" s="99">
        <f>SUM(M12:R12)</f>
        <v>9.9352740000000015</v>
      </c>
      <c r="T12" s="100">
        <f>S12*$B$6</f>
        <v>13810030.860000001</v>
      </c>
      <c r="U12" s="141" t="s">
        <v>31</v>
      </c>
      <c r="V12" s="98"/>
      <c r="W12" s="99">
        <v>0</v>
      </c>
      <c r="X12" s="98"/>
      <c r="Y12" s="99">
        <f>P12-G12</f>
        <v>6.328200000000006E-2</v>
      </c>
      <c r="Z12" s="98"/>
      <c r="AA12" s="98"/>
      <c r="AB12" s="98">
        <v>0</v>
      </c>
      <c r="AC12" s="99">
        <f>SUM(V12:AB12)</f>
        <v>6.328200000000006E-2</v>
      </c>
      <c r="AD12" s="100">
        <f>AC12*$B$6</f>
        <v>87961.980000000083</v>
      </c>
      <c r="AE12" s="84" t="s">
        <v>104</v>
      </c>
    </row>
    <row r="13" spans="1:31" ht="32.25" customHeight="1" x14ac:dyDescent="0.25">
      <c r="A13" s="96">
        <v>2</v>
      </c>
      <c r="B13" s="136" t="s">
        <v>94</v>
      </c>
      <c r="C13" s="102"/>
      <c r="D13" s="137">
        <v>6.04</v>
      </c>
      <c r="E13" s="98"/>
      <c r="F13" s="137">
        <v>0.45</v>
      </c>
      <c r="G13" s="99">
        <f>(D13+E13+F13)*30/100</f>
        <v>1.9470000000000001</v>
      </c>
      <c r="H13" s="137"/>
      <c r="I13" s="99">
        <f t="shared" ref="I13:I18" si="2">(D13+E13+F13)*25/100</f>
        <v>1.6225000000000001</v>
      </c>
      <c r="J13" s="99">
        <f t="shared" ref="J13:J18" si="3">SUM(D13:I13)</f>
        <v>10.059500000000002</v>
      </c>
      <c r="K13" s="100">
        <f t="shared" ref="K13:K18" si="4">J13*$B$6</f>
        <v>13982705.000000002</v>
      </c>
      <c r="L13" s="137"/>
      <c r="M13" s="137">
        <v>6.38</v>
      </c>
      <c r="N13" s="98"/>
      <c r="O13" s="137">
        <v>0.45</v>
      </c>
      <c r="P13" s="99">
        <f>(M13+N13+O13)*30/100</f>
        <v>2.0489999999999999</v>
      </c>
      <c r="Q13" s="137"/>
      <c r="R13" s="99">
        <f t="shared" ref="R13:R18" si="5">(M13+N13+O13)*25/100</f>
        <v>1.7075</v>
      </c>
      <c r="S13" s="99">
        <f t="shared" ref="S13:S18" si="6">SUM(M13:R13)</f>
        <v>10.586499999999999</v>
      </c>
      <c r="T13" s="100">
        <f t="shared" ref="T13:T18" si="7">S13*$B$6</f>
        <v>14715234.999999998</v>
      </c>
      <c r="U13" s="191" t="s">
        <v>102</v>
      </c>
      <c r="V13" s="137">
        <f>M13-D13</f>
        <v>0.33999999999999986</v>
      </c>
      <c r="W13" s="138"/>
      <c r="X13" s="137"/>
      <c r="Y13" s="99">
        <f t="shared" ref="Y13:Y18" si="8">P13-G13</f>
        <v>0.10199999999999987</v>
      </c>
      <c r="Z13" s="137"/>
      <c r="AA13" s="137"/>
      <c r="AB13" s="137">
        <f>R13-I13</f>
        <v>8.4999999999999964E-2</v>
      </c>
      <c r="AC13" s="99">
        <f t="shared" ref="AC13:AC18" si="9">SUM(V13:AB13)</f>
        <v>0.52699999999999969</v>
      </c>
      <c r="AD13" s="100">
        <f t="shared" ref="AD13:AD18" si="10">AC13*$B$6</f>
        <v>732529.99999999953</v>
      </c>
      <c r="AE13" s="140" t="s">
        <v>103</v>
      </c>
    </row>
    <row r="14" spans="1:31" ht="32.25" customHeight="1" x14ac:dyDescent="0.25">
      <c r="A14" s="96">
        <v>3</v>
      </c>
      <c r="B14" s="136" t="s">
        <v>95</v>
      </c>
      <c r="C14" s="102"/>
      <c r="D14" s="137">
        <v>4.6500000000000004</v>
      </c>
      <c r="E14" s="98"/>
      <c r="F14" s="137">
        <v>0.35</v>
      </c>
      <c r="G14" s="99"/>
      <c r="H14" s="137"/>
      <c r="I14" s="99"/>
      <c r="J14" s="99">
        <f t="shared" si="3"/>
        <v>5</v>
      </c>
      <c r="K14" s="100">
        <f t="shared" si="4"/>
        <v>6950000</v>
      </c>
      <c r="L14" s="137"/>
      <c r="M14" s="137">
        <v>4.9800000000000004</v>
      </c>
      <c r="N14" s="98"/>
      <c r="O14" s="137">
        <v>0.35</v>
      </c>
      <c r="P14" s="99"/>
      <c r="Q14" s="137"/>
      <c r="R14" s="99"/>
      <c r="S14" s="99">
        <f t="shared" si="6"/>
        <v>5.33</v>
      </c>
      <c r="T14" s="100">
        <f t="shared" si="7"/>
        <v>7408700</v>
      </c>
      <c r="U14" s="191" t="s">
        <v>80</v>
      </c>
      <c r="V14" s="137">
        <f>M14-D14</f>
        <v>0.33000000000000007</v>
      </c>
      <c r="W14" s="138"/>
      <c r="X14" s="137"/>
      <c r="Y14" s="99">
        <f t="shared" si="8"/>
        <v>0</v>
      </c>
      <c r="Z14" s="137"/>
      <c r="AA14" s="137"/>
      <c r="AB14" s="137"/>
      <c r="AC14" s="99">
        <f t="shared" si="9"/>
        <v>0.33000000000000007</v>
      </c>
      <c r="AD14" s="100">
        <f t="shared" si="10"/>
        <v>458700.00000000012</v>
      </c>
      <c r="AE14" s="140" t="s">
        <v>101</v>
      </c>
    </row>
    <row r="15" spans="1:31" ht="32.25" customHeight="1" x14ac:dyDescent="0.25">
      <c r="A15" s="96">
        <v>4</v>
      </c>
      <c r="B15" s="136" t="s">
        <v>96</v>
      </c>
      <c r="C15" s="102"/>
      <c r="D15" s="137">
        <v>4.6500000000000004</v>
      </c>
      <c r="E15" s="98"/>
      <c r="F15" s="137">
        <v>0.35</v>
      </c>
      <c r="G15" s="99">
        <f>(D15+E15+F15)*19/100</f>
        <v>0.95</v>
      </c>
      <c r="H15" s="137"/>
      <c r="I15" s="99">
        <f t="shared" si="2"/>
        <v>1.25</v>
      </c>
      <c r="J15" s="99">
        <f t="shared" si="3"/>
        <v>7.2</v>
      </c>
      <c r="K15" s="100">
        <f t="shared" si="4"/>
        <v>10008000</v>
      </c>
      <c r="L15" s="137"/>
      <c r="M15" s="137">
        <v>4.9800000000000004</v>
      </c>
      <c r="N15" s="98"/>
      <c r="O15" s="137">
        <v>0.35</v>
      </c>
      <c r="P15" s="99">
        <f>(M15+N15+O15)*19/100</f>
        <v>1.0126999999999999</v>
      </c>
      <c r="Q15" s="137"/>
      <c r="R15" s="99">
        <f t="shared" si="5"/>
        <v>1.3325</v>
      </c>
      <c r="S15" s="99">
        <f t="shared" si="6"/>
        <v>7.6752000000000002</v>
      </c>
      <c r="T15" s="100">
        <f t="shared" si="7"/>
        <v>10668528</v>
      </c>
      <c r="U15" s="190" t="s">
        <v>34</v>
      </c>
      <c r="V15" s="137">
        <f>M15-D15</f>
        <v>0.33000000000000007</v>
      </c>
      <c r="W15" s="138"/>
      <c r="X15" s="137"/>
      <c r="Y15" s="99">
        <f t="shared" si="8"/>
        <v>6.2699999999999978E-2</v>
      </c>
      <c r="Z15" s="137"/>
      <c r="AA15" s="137"/>
      <c r="AB15" s="137">
        <f>R15-I15</f>
        <v>8.2500000000000018E-2</v>
      </c>
      <c r="AC15" s="99">
        <f t="shared" si="9"/>
        <v>0.47520000000000007</v>
      </c>
      <c r="AD15" s="100">
        <f t="shared" si="10"/>
        <v>660528.00000000012</v>
      </c>
      <c r="AE15" s="140" t="s">
        <v>93</v>
      </c>
    </row>
    <row r="16" spans="1:31" ht="32.25" customHeight="1" x14ac:dyDescent="0.25">
      <c r="A16" s="96">
        <v>5</v>
      </c>
      <c r="B16" s="136" t="s">
        <v>46</v>
      </c>
      <c r="C16" s="102"/>
      <c r="D16" s="137">
        <v>4.6500000000000004</v>
      </c>
      <c r="E16" s="98"/>
      <c r="F16" s="137">
        <v>0.35</v>
      </c>
      <c r="G16" s="99">
        <f>(D16+E16+F16)*19/100</f>
        <v>0.95</v>
      </c>
      <c r="H16" s="137"/>
      <c r="I16" s="99">
        <f t="shared" si="2"/>
        <v>1.25</v>
      </c>
      <c r="J16" s="99">
        <f t="shared" si="3"/>
        <v>7.2</v>
      </c>
      <c r="K16" s="100">
        <f t="shared" si="4"/>
        <v>10008000</v>
      </c>
      <c r="L16" s="137"/>
      <c r="M16" s="137">
        <v>4.9800000000000004</v>
      </c>
      <c r="N16" s="98"/>
      <c r="O16" s="137">
        <v>0.35</v>
      </c>
      <c r="P16" s="99">
        <f>(M16+N16+O16)*19/100</f>
        <v>1.0126999999999999</v>
      </c>
      <c r="Q16" s="137"/>
      <c r="R16" s="99">
        <f t="shared" si="5"/>
        <v>1.3325</v>
      </c>
      <c r="S16" s="99">
        <f t="shared" si="6"/>
        <v>7.6752000000000002</v>
      </c>
      <c r="T16" s="100">
        <f t="shared" si="7"/>
        <v>10668528</v>
      </c>
      <c r="U16" s="190" t="s">
        <v>34</v>
      </c>
      <c r="V16" s="137">
        <f>M16-D16</f>
        <v>0.33000000000000007</v>
      </c>
      <c r="W16" s="138"/>
      <c r="X16" s="137"/>
      <c r="Y16" s="99">
        <f t="shared" si="8"/>
        <v>6.2699999999999978E-2</v>
      </c>
      <c r="Z16" s="137"/>
      <c r="AA16" s="137"/>
      <c r="AB16" s="137">
        <f>R16-I16</f>
        <v>8.2500000000000018E-2</v>
      </c>
      <c r="AC16" s="99">
        <f t="shared" si="9"/>
        <v>0.47520000000000007</v>
      </c>
      <c r="AD16" s="100">
        <f t="shared" si="10"/>
        <v>660528.00000000012</v>
      </c>
      <c r="AE16" s="140" t="s">
        <v>93</v>
      </c>
    </row>
    <row r="17" spans="1:31" ht="32.25" customHeight="1" x14ac:dyDescent="0.25">
      <c r="A17" s="96">
        <v>6</v>
      </c>
      <c r="B17" s="136" t="s">
        <v>97</v>
      </c>
      <c r="C17" s="102"/>
      <c r="D17" s="137">
        <v>3.99</v>
      </c>
      <c r="E17" s="98"/>
      <c r="F17" s="137">
        <v>0.35</v>
      </c>
      <c r="G17" s="99">
        <f>(D17+E17+F17)*15/100</f>
        <v>0.65099999999999991</v>
      </c>
      <c r="H17" s="137"/>
      <c r="I17" s="99">
        <f t="shared" si="2"/>
        <v>1.085</v>
      </c>
      <c r="J17" s="99">
        <f t="shared" si="3"/>
        <v>6.0759999999999996</v>
      </c>
      <c r="K17" s="100">
        <f t="shared" si="4"/>
        <v>8445640</v>
      </c>
      <c r="L17" s="137"/>
      <c r="M17" s="137">
        <v>4.32</v>
      </c>
      <c r="N17" s="98"/>
      <c r="O17" s="137">
        <v>0.35</v>
      </c>
      <c r="P17" s="99">
        <f>(M17+N17+O17)*15/100</f>
        <v>0.70050000000000001</v>
      </c>
      <c r="Q17" s="137"/>
      <c r="R17" s="99">
        <f t="shared" si="5"/>
        <v>1.1675</v>
      </c>
      <c r="S17" s="99">
        <f t="shared" si="6"/>
        <v>6.5380000000000003</v>
      </c>
      <c r="T17" s="100">
        <f t="shared" si="7"/>
        <v>9087820</v>
      </c>
      <c r="U17" s="190" t="s">
        <v>34</v>
      </c>
      <c r="V17" s="137">
        <f>M17-D17</f>
        <v>0.33000000000000007</v>
      </c>
      <c r="W17" s="138"/>
      <c r="X17" s="137"/>
      <c r="Y17" s="99">
        <f t="shared" si="8"/>
        <v>4.9500000000000099E-2</v>
      </c>
      <c r="Z17" s="137"/>
      <c r="AA17" s="137"/>
      <c r="AB17" s="137">
        <f>R17-I17</f>
        <v>8.2500000000000018E-2</v>
      </c>
      <c r="AC17" s="99">
        <f t="shared" si="9"/>
        <v>0.46200000000000019</v>
      </c>
      <c r="AD17" s="100">
        <f t="shared" si="10"/>
        <v>642180.00000000023</v>
      </c>
      <c r="AE17" s="140" t="s">
        <v>101</v>
      </c>
    </row>
    <row r="18" spans="1:31" ht="32.25" customHeight="1" x14ac:dyDescent="0.25">
      <c r="A18" s="96">
        <v>7</v>
      </c>
      <c r="B18" s="136" t="s">
        <v>98</v>
      </c>
      <c r="C18" s="102"/>
      <c r="D18" s="137">
        <v>4.9800000000000004</v>
      </c>
      <c r="E18" s="98">
        <f>D18*6/100</f>
        <v>0.29880000000000001</v>
      </c>
      <c r="F18" s="137"/>
      <c r="G18" s="99">
        <f>(D18+E18+F18)*27/100</f>
        <v>1.425276</v>
      </c>
      <c r="H18" s="137"/>
      <c r="I18" s="99">
        <f t="shared" si="2"/>
        <v>1.3197000000000001</v>
      </c>
      <c r="J18" s="99">
        <f t="shared" si="3"/>
        <v>8.0237760000000016</v>
      </c>
      <c r="K18" s="100">
        <f t="shared" si="4"/>
        <v>11153048.640000002</v>
      </c>
      <c r="L18" s="137"/>
      <c r="M18" s="137">
        <v>4.9800000000000004</v>
      </c>
      <c r="N18" s="98">
        <f>M18*7/100</f>
        <v>0.34860000000000002</v>
      </c>
      <c r="O18" s="137"/>
      <c r="P18" s="99">
        <f>(M18+N18+O18)*27/100</f>
        <v>1.4387220000000003</v>
      </c>
      <c r="Q18" s="137"/>
      <c r="R18" s="99">
        <f t="shared" si="5"/>
        <v>1.3321499999999999</v>
      </c>
      <c r="S18" s="99">
        <f t="shared" si="6"/>
        <v>8.0994720000000004</v>
      </c>
      <c r="T18" s="100">
        <f t="shared" si="7"/>
        <v>11258266.08</v>
      </c>
      <c r="U18" s="190" t="s">
        <v>34</v>
      </c>
      <c r="V18" s="137"/>
      <c r="W18" s="138">
        <f>N18-E18</f>
        <v>4.9800000000000011E-2</v>
      </c>
      <c r="X18" s="137"/>
      <c r="Y18" s="99">
        <f t="shared" si="8"/>
        <v>1.3446000000000291E-2</v>
      </c>
      <c r="Z18" s="137"/>
      <c r="AA18" s="137"/>
      <c r="AB18" s="137">
        <f>R18-I18</f>
        <v>1.244999999999985E-2</v>
      </c>
      <c r="AC18" s="99">
        <f t="shared" si="9"/>
        <v>7.5696000000000152E-2</v>
      </c>
      <c r="AD18" s="100">
        <f t="shared" si="10"/>
        <v>105217.44000000021</v>
      </c>
      <c r="AE18" s="140" t="s">
        <v>99</v>
      </c>
    </row>
    <row r="19" spans="1:31" ht="68.25" customHeight="1" x14ac:dyDescent="0.25">
      <c r="A19" s="102"/>
      <c r="B19" s="92" t="s">
        <v>33</v>
      </c>
      <c r="C19" s="69"/>
      <c r="D19" s="106">
        <f t="shared" ref="D19:AD19" si="11">SUM(D20:D34)</f>
        <v>39.53</v>
      </c>
      <c r="E19" s="106">
        <f t="shared" si="11"/>
        <v>0.60450000000000004</v>
      </c>
      <c r="F19" s="106">
        <f t="shared" si="11"/>
        <v>1.5999999999999999</v>
      </c>
      <c r="G19" s="71">
        <f t="shared" si="11"/>
        <v>2.3085999999999998</v>
      </c>
      <c r="H19" s="106">
        <f t="shared" si="11"/>
        <v>0</v>
      </c>
      <c r="I19" s="71">
        <f t="shared" si="11"/>
        <v>7.0600000000000005</v>
      </c>
      <c r="J19" s="71">
        <f t="shared" si="11"/>
        <v>51.103099999999998</v>
      </c>
      <c r="K19" s="70">
        <f t="shared" si="11"/>
        <v>71033309</v>
      </c>
      <c r="L19" s="106">
        <f t="shared" si="11"/>
        <v>0</v>
      </c>
      <c r="M19" s="106">
        <f t="shared" si="11"/>
        <v>49.358000000000004</v>
      </c>
      <c r="N19" s="71">
        <f t="shared" si="11"/>
        <v>0.64480000000000004</v>
      </c>
      <c r="O19" s="106">
        <f t="shared" si="11"/>
        <v>1.5999999999999999</v>
      </c>
      <c r="P19" s="71">
        <f t="shared" si="11"/>
        <v>2.9241999999999999</v>
      </c>
      <c r="Q19" s="106">
        <f t="shared" si="11"/>
        <v>0</v>
      </c>
      <c r="R19" s="71">
        <f t="shared" si="11"/>
        <v>8.536999999999999</v>
      </c>
      <c r="S19" s="71">
        <f t="shared" si="11"/>
        <v>63.063999999999993</v>
      </c>
      <c r="T19" s="70">
        <f t="shared" si="11"/>
        <v>87658960</v>
      </c>
      <c r="U19" s="106">
        <f t="shared" si="11"/>
        <v>0</v>
      </c>
      <c r="V19" s="71">
        <f t="shared" si="11"/>
        <v>9.8280000000000012</v>
      </c>
      <c r="W19" s="71">
        <f t="shared" si="11"/>
        <v>4.0300000000000002E-2</v>
      </c>
      <c r="X19" s="106">
        <f t="shared" si="11"/>
        <v>0</v>
      </c>
      <c r="Y19" s="71">
        <f t="shared" si="11"/>
        <v>0.61560000000000015</v>
      </c>
      <c r="Z19" s="106">
        <f t="shared" si="11"/>
        <v>0</v>
      </c>
      <c r="AA19" s="106">
        <f t="shared" si="11"/>
        <v>0</v>
      </c>
      <c r="AB19" s="71">
        <f>SUM(AB20:AB34)</f>
        <v>1.4770000000000003</v>
      </c>
      <c r="AC19" s="71">
        <f t="shared" si="11"/>
        <v>11.960900000000001</v>
      </c>
      <c r="AD19" s="70">
        <f t="shared" si="11"/>
        <v>16625651</v>
      </c>
      <c r="AE19" s="106">
        <v>0</v>
      </c>
    </row>
    <row r="20" spans="1:31" ht="30.75" customHeight="1" x14ac:dyDescent="0.25">
      <c r="A20" s="96">
        <v>1</v>
      </c>
      <c r="B20" s="77" t="s">
        <v>92</v>
      </c>
      <c r="C20" s="79"/>
      <c r="D20" s="35">
        <v>3.33</v>
      </c>
      <c r="E20" s="80"/>
      <c r="F20" s="80">
        <v>0</v>
      </c>
      <c r="G20" s="80"/>
      <c r="H20" s="81"/>
      <c r="I20" s="80"/>
      <c r="J20" s="80">
        <f>SUM(D20:I20)</f>
        <v>3.33</v>
      </c>
      <c r="K20" s="76">
        <f>J20*$B$6</f>
        <v>4628700</v>
      </c>
      <c r="L20" s="82"/>
      <c r="M20" s="88">
        <v>3.66</v>
      </c>
      <c r="N20" s="80"/>
      <c r="O20" s="80">
        <v>0</v>
      </c>
      <c r="P20" s="80"/>
      <c r="Q20" s="81"/>
      <c r="R20" s="80"/>
      <c r="S20" s="64">
        <f>SUM(M20:R20)</f>
        <v>3.66</v>
      </c>
      <c r="T20" s="83">
        <f>S20*$B$6</f>
        <v>5087400</v>
      </c>
      <c r="U20" s="60" t="s">
        <v>80</v>
      </c>
      <c r="V20" s="85">
        <f>M20-D20</f>
        <v>0.33000000000000007</v>
      </c>
      <c r="W20" s="85"/>
      <c r="X20" s="85"/>
      <c r="Y20" s="85">
        <f>P20-G20</f>
        <v>0</v>
      </c>
      <c r="Z20" s="85"/>
      <c r="AA20" s="85"/>
      <c r="AB20" s="85">
        <v>0</v>
      </c>
      <c r="AC20" s="85">
        <f>SUM(V20:AB20)</f>
        <v>0.33000000000000007</v>
      </c>
      <c r="AD20" s="86">
        <f>AC20*$B$6</f>
        <v>458700.00000000012</v>
      </c>
      <c r="AE20" s="84" t="s">
        <v>93</v>
      </c>
    </row>
    <row r="21" spans="1:31" ht="30.75" customHeight="1" x14ac:dyDescent="0.25">
      <c r="A21" s="96">
        <v>2</v>
      </c>
      <c r="B21" s="77" t="s">
        <v>100</v>
      </c>
      <c r="C21" s="79"/>
      <c r="D21" s="35">
        <v>3.33</v>
      </c>
      <c r="E21" s="80"/>
      <c r="F21" s="80"/>
      <c r="G21" s="80">
        <f>(D21+E21+F21)*10/100</f>
        <v>0.33299999999999996</v>
      </c>
      <c r="H21" s="81"/>
      <c r="I21" s="80">
        <f t="shared" ref="I21:I34" si="12">(D21+E21+F21)*25/100</f>
        <v>0.83250000000000002</v>
      </c>
      <c r="J21" s="80">
        <f t="shared" ref="J21:J34" si="13">SUM(D21:I21)</f>
        <v>4.4954999999999998</v>
      </c>
      <c r="K21" s="76">
        <f t="shared" ref="K21:K34" si="14">J21*$B$6</f>
        <v>6248745</v>
      </c>
      <c r="L21" s="82"/>
      <c r="M21" s="88">
        <v>3.66</v>
      </c>
      <c r="N21" s="80"/>
      <c r="O21" s="80"/>
      <c r="P21" s="80">
        <f>(M21+N21+O21)*10/100</f>
        <v>0.36599999999999999</v>
      </c>
      <c r="Q21" s="81"/>
      <c r="R21" s="80">
        <f t="shared" ref="R21:R33" si="15">(M21+N21+O21)*25/100</f>
        <v>0.91500000000000004</v>
      </c>
      <c r="S21" s="64">
        <f t="shared" ref="S21:S34" si="16">SUM(M21:R21)</f>
        <v>4.9409999999999998</v>
      </c>
      <c r="T21" s="83">
        <f t="shared" ref="T21:T34" si="17">S21*$B$6</f>
        <v>6867990</v>
      </c>
      <c r="U21" s="60" t="s">
        <v>34</v>
      </c>
      <c r="V21" s="85">
        <f>M21-D21</f>
        <v>0.33000000000000007</v>
      </c>
      <c r="W21" s="85"/>
      <c r="X21" s="85"/>
      <c r="Y21" s="85">
        <f t="shared" ref="Y21:Y32" si="18">P21-G21</f>
        <v>3.3000000000000029E-2</v>
      </c>
      <c r="Z21" s="85"/>
      <c r="AA21" s="85"/>
      <c r="AB21" s="85">
        <f>R21-I21</f>
        <v>8.2500000000000018E-2</v>
      </c>
      <c r="AC21" s="85">
        <f t="shared" ref="AC21:AC34" si="19">SUM(V21:AB21)</f>
        <v>0.44550000000000012</v>
      </c>
      <c r="AD21" s="86">
        <f t="shared" ref="AD21:AD34" si="20">AC21*$B$6</f>
        <v>619245.00000000012</v>
      </c>
      <c r="AE21" s="84" t="s">
        <v>101</v>
      </c>
    </row>
    <row r="22" spans="1:31" ht="30.75" customHeight="1" x14ac:dyDescent="0.25">
      <c r="A22" s="96">
        <v>3</v>
      </c>
      <c r="B22" s="77" t="s">
        <v>105</v>
      </c>
      <c r="C22" s="79"/>
      <c r="D22" s="35">
        <v>3.66</v>
      </c>
      <c r="E22" s="80"/>
      <c r="F22" s="80">
        <v>0.35</v>
      </c>
      <c r="G22" s="80">
        <f>(D22+E22+F22)*14/100</f>
        <v>0.56140000000000001</v>
      </c>
      <c r="H22" s="81"/>
      <c r="I22" s="80">
        <f t="shared" si="12"/>
        <v>1.0024999999999999</v>
      </c>
      <c r="J22" s="80">
        <f t="shared" si="13"/>
        <v>5.5739000000000001</v>
      </c>
      <c r="K22" s="76">
        <f t="shared" si="14"/>
        <v>7747721</v>
      </c>
      <c r="L22" s="82"/>
      <c r="M22" s="88">
        <v>3.99</v>
      </c>
      <c r="N22" s="80"/>
      <c r="O22" s="80">
        <v>0.35</v>
      </c>
      <c r="P22" s="80">
        <f>(M22+N22+O22)*14/100</f>
        <v>0.60760000000000003</v>
      </c>
      <c r="Q22" s="81"/>
      <c r="R22" s="80">
        <f t="shared" si="15"/>
        <v>1.085</v>
      </c>
      <c r="S22" s="64">
        <f t="shared" si="16"/>
        <v>6.0325999999999995</v>
      </c>
      <c r="T22" s="83">
        <f t="shared" si="17"/>
        <v>8385313.9999999991</v>
      </c>
      <c r="U22" s="60" t="s">
        <v>34</v>
      </c>
      <c r="V22" s="85">
        <f t="shared" ref="V22:V24" si="21">M22-D22</f>
        <v>0.33000000000000007</v>
      </c>
      <c r="W22" s="85"/>
      <c r="X22" s="85"/>
      <c r="Y22" s="85">
        <f t="shared" si="18"/>
        <v>4.6200000000000019E-2</v>
      </c>
      <c r="Z22" s="85"/>
      <c r="AA22" s="85"/>
      <c r="AB22" s="85">
        <f t="shared" ref="AB22:AB34" si="22">R22-I22</f>
        <v>8.2500000000000018E-2</v>
      </c>
      <c r="AC22" s="85">
        <f t="shared" si="19"/>
        <v>0.45870000000000011</v>
      </c>
      <c r="AD22" s="86">
        <f t="shared" si="20"/>
        <v>637593.00000000012</v>
      </c>
      <c r="AE22" s="84" t="s">
        <v>106</v>
      </c>
    </row>
    <row r="23" spans="1:31" ht="30.75" customHeight="1" x14ac:dyDescent="0.25">
      <c r="A23" s="96">
        <v>4</v>
      </c>
      <c r="B23" s="77" t="s">
        <v>107</v>
      </c>
      <c r="C23" s="79"/>
      <c r="D23" s="35">
        <v>3.33</v>
      </c>
      <c r="E23" s="80"/>
      <c r="F23" s="80"/>
      <c r="G23" s="80">
        <f>(D23+E23+F23)*10/100</f>
        <v>0.33299999999999996</v>
      </c>
      <c r="H23" s="81"/>
      <c r="I23" s="80">
        <f t="shared" si="12"/>
        <v>0.83250000000000002</v>
      </c>
      <c r="J23" s="80">
        <f t="shared" si="13"/>
        <v>4.4954999999999998</v>
      </c>
      <c r="K23" s="76">
        <f t="shared" si="14"/>
        <v>6248745</v>
      </c>
      <c r="L23" s="82"/>
      <c r="M23" s="88">
        <v>3.66</v>
      </c>
      <c r="N23" s="80"/>
      <c r="O23" s="80"/>
      <c r="P23" s="80">
        <f>(M23+N23+O23)*10/100</f>
        <v>0.36599999999999999</v>
      </c>
      <c r="Q23" s="81"/>
      <c r="R23" s="80">
        <f t="shared" si="15"/>
        <v>0.91500000000000004</v>
      </c>
      <c r="S23" s="64">
        <f t="shared" si="16"/>
        <v>4.9409999999999998</v>
      </c>
      <c r="T23" s="83">
        <f t="shared" si="17"/>
        <v>6867990</v>
      </c>
      <c r="U23" s="60" t="s">
        <v>34</v>
      </c>
      <c r="V23" s="85">
        <f t="shared" si="21"/>
        <v>0.33000000000000007</v>
      </c>
      <c r="W23" s="85"/>
      <c r="X23" s="85"/>
      <c r="Y23" s="85">
        <f t="shared" si="18"/>
        <v>3.3000000000000029E-2</v>
      </c>
      <c r="Z23" s="85"/>
      <c r="AA23" s="85"/>
      <c r="AB23" s="85">
        <f t="shared" si="22"/>
        <v>8.2500000000000018E-2</v>
      </c>
      <c r="AC23" s="85">
        <f t="shared" si="19"/>
        <v>0.44550000000000012</v>
      </c>
      <c r="AD23" s="86">
        <f t="shared" si="20"/>
        <v>619245.00000000012</v>
      </c>
      <c r="AE23" s="84" t="s">
        <v>101</v>
      </c>
    </row>
    <row r="24" spans="1:31" ht="30.75" customHeight="1" x14ac:dyDescent="0.25">
      <c r="A24" s="96">
        <v>5</v>
      </c>
      <c r="B24" s="77" t="s">
        <v>108</v>
      </c>
      <c r="C24" s="79"/>
      <c r="D24" s="148">
        <v>4.03</v>
      </c>
      <c r="E24" s="80">
        <f>D24*15/100</f>
        <v>0.60450000000000004</v>
      </c>
      <c r="F24" s="80"/>
      <c r="G24" s="80"/>
      <c r="H24" s="81"/>
      <c r="I24" s="80"/>
      <c r="J24" s="80">
        <f t="shared" si="13"/>
        <v>4.6345000000000001</v>
      </c>
      <c r="K24" s="76">
        <f t="shared" si="14"/>
        <v>6441955</v>
      </c>
      <c r="L24" s="82"/>
      <c r="M24" s="148">
        <v>4.03</v>
      </c>
      <c r="N24" s="80">
        <f>M24*16/100</f>
        <v>0.64480000000000004</v>
      </c>
      <c r="O24" s="80"/>
      <c r="P24" s="80"/>
      <c r="Q24" s="81"/>
      <c r="R24" s="80"/>
      <c r="S24" s="64">
        <f t="shared" si="16"/>
        <v>4.6748000000000003</v>
      </c>
      <c r="T24" s="83">
        <f t="shared" si="17"/>
        <v>6497972</v>
      </c>
      <c r="U24" s="60" t="s">
        <v>109</v>
      </c>
      <c r="V24" s="85">
        <f t="shared" si="21"/>
        <v>0</v>
      </c>
      <c r="W24" s="85">
        <f>N24-E24</f>
        <v>4.0300000000000002E-2</v>
      </c>
      <c r="X24" s="85"/>
      <c r="Y24" s="85">
        <f t="shared" si="18"/>
        <v>0</v>
      </c>
      <c r="Z24" s="85"/>
      <c r="AA24" s="85"/>
      <c r="AB24" s="85">
        <f t="shared" si="22"/>
        <v>0</v>
      </c>
      <c r="AC24" s="85">
        <f t="shared" si="19"/>
        <v>4.0300000000000002E-2</v>
      </c>
      <c r="AD24" s="86">
        <f t="shared" si="20"/>
        <v>56017</v>
      </c>
      <c r="AE24" s="84" t="s">
        <v>110</v>
      </c>
    </row>
    <row r="25" spans="1:31" ht="30.75" customHeight="1" x14ac:dyDescent="0.25">
      <c r="A25" s="96">
        <v>6</v>
      </c>
      <c r="B25" s="77" t="s">
        <v>111</v>
      </c>
      <c r="C25" s="79"/>
      <c r="D25" s="148">
        <v>3</v>
      </c>
      <c r="E25" s="80"/>
      <c r="F25" s="80">
        <v>0.35</v>
      </c>
      <c r="G25" s="80"/>
      <c r="H25" s="81"/>
      <c r="I25" s="80">
        <f t="shared" si="12"/>
        <v>0.83750000000000002</v>
      </c>
      <c r="J25" s="80">
        <f t="shared" si="13"/>
        <v>4.1875</v>
      </c>
      <c r="K25" s="76">
        <f t="shared" si="14"/>
        <v>5820625</v>
      </c>
      <c r="L25" s="82"/>
      <c r="M25" s="148">
        <v>3</v>
      </c>
      <c r="N25" s="80"/>
      <c r="O25" s="80">
        <v>0.35</v>
      </c>
      <c r="P25" s="80">
        <f>(M25+N25+O25)*6/100</f>
        <v>0.20100000000000001</v>
      </c>
      <c r="Q25" s="81"/>
      <c r="R25" s="80">
        <f t="shared" si="15"/>
        <v>0.83750000000000002</v>
      </c>
      <c r="S25" s="64">
        <f t="shared" si="16"/>
        <v>4.3885000000000005</v>
      </c>
      <c r="T25" s="83">
        <f t="shared" si="17"/>
        <v>6100015.0000000009</v>
      </c>
      <c r="U25" s="60" t="s">
        <v>34</v>
      </c>
      <c r="V25" s="85"/>
      <c r="W25" s="85"/>
      <c r="X25" s="85"/>
      <c r="Y25" s="85">
        <f t="shared" si="18"/>
        <v>0.20100000000000001</v>
      </c>
      <c r="Z25" s="85"/>
      <c r="AA25" s="85"/>
      <c r="AB25" s="85">
        <f t="shared" si="22"/>
        <v>0</v>
      </c>
      <c r="AC25" s="85">
        <f t="shared" si="19"/>
        <v>0.20100000000000001</v>
      </c>
      <c r="AD25" s="86">
        <f t="shared" si="20"/>
        <v>279390</v>
      </c>
      <c r="AE25" s="84" t="s">
        <v>112</v>
      </c>
    </row>
    <row r="26" spans="1:31" ht="30.75" customHeight="1" x14ac:dyDescent="0.25">
      <c r="A26" s="96">
        <v>7</v>
      </c>
      <c r="B26" s="77" t="s">
        <v>113</v>
      </c>
      <c r="C26" s="79"/>
      <c r="D26" s="148">
        <v>2.86</v>
      </c>
      <c r="E26" s="80"/>
      <c r="F26" s="80"/>
      <c r="G26" s="80"/>
      <c r="H26" s="81"/>
      <c r="I26" s="80"/>
      <c r="J26" s="80">
        <f t="shared" si="13"/>
        <v>2.86</v>
      </c>
      <c r="K26" s="76">
        <f t="shared" si="14"/>
        <v>3975400</v>
      </c>
      <c r="L26" s="82"/>
      <c r="M26" s="148">
        <v>3.06</v>
      </c>
      <c r="N26" s="80"/>
      <c r="O26" s="80"/>
      <c r="P26" s="80"/>
      <c r="Q26" s="81"/>
      <c r="R26" s="80"/>
      <c r="S26" s="64">
        <f t="shared" si="16"/>
        <v>3.06</v>
      </c>
      <c r="T26" s="83">
        <f t="shared" si="17"/>
        <v>4253400</v>
      </c>
      <c r="U26" s="60" t="s">
        <v>114</v>
      </c>
      <c r="V26" s="85">
        <f t="shared" ref="V26:V31" si="23">M26-D26</f>
        <v>0.20000000000000018</v>
      </c>
      <c r="W26" s="85"/>
      <c r="X26" s="85"/>
      <c r="Y26" s="85">
        <f t="shared" si="18"/>
        <v>0</v>
      </c>
      <c r="Z26" s="85"/>
      <c r="AA26" s="85"/>
      <c r="AB26" s="85">
        <f t="shared" si="22"/>
        <v>0</v>
      </c>
      <c r="AC26" s="85">
        <f t="shared" si="19"/>
        <v>0.20000000000000018</v>
      </c>
      <c r="AD26" s="86">
        <f t="shared" si="20"/>
        <v>278000.00000000023</v>
      </c>
      <c r="AE26" s="84" t="s">
        <v>103</v>
      </c>
    </row>
    <row r="27" spans="1:31" ht="30.75" customHeight="1" x14ac:dyDescent="0.25">
      <c r="A27" s="96">
        <v>8</v>
      </c>
      <c r="B27" s="77" t="s">
        <v>115</v>
      </c>
      <c r="C27" s="79"/>
      <c r="D27" s="148">
        <v>3.33</v>
      </c>
      <c r="E27" s="80"/>
      <c r="F27" s="80"/>
      <c r="G27" s="80"/>
      <c r="H27" s="81"/>
      <c r="I27" s="80">
        <f t="shared" si="12"/>
        <v>0.83250000000000002</v>
      </c>
      <c r="J27" s="80">
        <f t="shared" si="13"/>
        <v>4.1624999999999996</v>
      </c>
      <c r="K27" s="76">
        <f t="shared" si="14"/>
        <v>5785874.9999999991</v>
      </c>
      <c r="L27" s="82"/>
      <c r="M27" s="148">
        <v>3.33</v>
      </c>
      <c r="N27" s="80"/>
      <c r="O27" s="80"/>
      <c r="P27" s="80">
        <f>(M27+N27+O27)*6/100</f>
        <v>0.19980000000000001</v>
      </c>
      <c r="Q27" s="81"/>
      <c r="R27" s="80">
        <f t="shared" si="15"/>
        <v>0.83250000000000002</v>
      </c>
      <c r="S27" s="64">
        <f t="shared" si="16"/>
        <v>4.3623000000000003</v>
      </c>
      <c r="T27" s="83">
        <f t="shared" si="17"/>
        <v>6063597</v>
      </c>
      <c r="U27" s="60" t="s">
        <v>34</v>
      </c>
      <c r="V27" s="85">
        <f t="shared" si="23"/>
        <v>0</v>
      </c>
      <c r="W27" s="85"/>
      <c r="X27" s="85"/>
      <c r="Y27" s="85">
        <f t="shared" si="18"/>
        <v>0.19980000000000001</v>
      </c>
      <c r="Z27" s="85"/>
      <c r="AA27" s="85"/>
      <c r="AB27" s="85">
        <f t="shared" si="22"/>
        <v>0</v>
      </c>
      <c r="AC27" s="85">
        <f t="shared" si="19"/>
        <v>0.19980000000000001</v>
      </c>
      <c r="AD27" s="86">
        <f t="shared" si="20"/>
        <v>277722</v>
      </c>
      <c r="AE27" s="84" t="s">
        <v>116</v>
      </c>
    </row>
    <row r="28" spans="1:31" ht="30.75" customHeight="1" x14ac:dyDescent="0.25">
      <c r="A28" s="96">
        <v>9</v>
      </c>
      <c r="B28" s="77" t="s">
        <v>117</v>
      </c>
      <c r="C28" s="79"/>
      <c r="D28" s="148">
        <v>3.66</v>
      </c>
      <c r="E28" s="80"/>
      <c r="F28" s="80">
        <v>0.45</v>
      </c>
      <c r="G28" s="80">
        <f>(D28+E28+F28)*12/100</f>
        <v>0.49320000000000008</v>
      </c>
      <c r="H28" s="81"/>
      <c r="I28" s="80">
        <f t="shared" si="12"/>
        <v>1.0275000000000001</v>
      </c>
      <c r="J28" s="80">
        <f t="shared" si="13"/>
        <v>5.6307</v>
      </c>
      <c r="K28" s="76">
        <f t="shared" si="14"/>
        <v>7826673</v>
      </c>
      <c r="L28" s="82"/>
      <c r="M28" s="148">
        <v>3.99</v>
      </c>
      <c r="N28" s="80"/>
      <c r="O28" s="80">
        <v>0.45</v>
      </c>
      <c r="P28" s="80">
        <f>(M28+N28+O28)*12/100</f>
        <v>0.53280000000000005</v>
      </c>
      <c r="Q28" s="81"/>
      <c r="R28" s="80">
        <f t="shared" si="15"/>
        <v>1.1100000000000001</v>
      </c>
      <c r="S28" s="64">
        <f t="shared" si="16"/>
        <v>6.0828000000000007</v>
      </c>
      <c r="T28" s="83">
        <f t="shared" si="17"/>
        <v>8455092</v>
      </c>
      <c r="U28" s="60" t="s">
        <v>34</v>
      </c>
      <c r="V28" s="85">
        <f t="shared" si="23"/>
        <v>0.33000000000000007</v>
      </c>
      <c r="W28" s="85"/>
      <c r="X28" s="85"/>
      <c r="Y28" s="85">
        <f t="shared" si="18"/>
        <v>3.9599999999999969E-2</v>
      </c>
      <c r="Z28" s="85"/>
      <c r="AA28" s="85"/>
      <c r="AB28" s="85">
        <f t="shared" si="22"/>
        <v>8.2500000000000018E-2</v>
      </c>
      <c r="AC28" s="85">
        <f t="shared" si="19"/>
        <v>0.45210000000000006</v>
      </c>
      <c r="AD28" s="86">
        <f t="shared" si="20"/>
        <v>628419.00000000012</v>
      </c>
      <c r="AE28" s="84" t="s">
        <v>101</v>
      </c>
    </row>
    <row r="29" spans="1:31" ht="30.75" customHeight="1" x14ac:dyDescent="0.25">
      <c r="A29" s="96">
        <v>10</v>
      </c>
      <c r="B29" s="77" t="s">
        <v>118</v>
      </c>
      <c r="C29" s="79"/>
      <c r="D29" s="148">
        <v>3.33</v>
      </c>
      <c r="E29" s="80"/>
      <c r="F29" s="80">
        <v>0.45</v>
      </c>
      <c r="G29" s="80">
        <f t="shared" ref="G29:G34" si="24">(D29+E29+F29)*10/100</f>
        <v>0.37800000000000006</v>
      </c>
      <c r="H29" s="81"/>
      <c r="I29" s="80">
        <f t="shared" si="12"/>
        <v>0.94499999999999995</v>
      </c>
      <c r="J29" s="80">
        <f t="shared" si="13"/>
        <v>5.1030000000000006</v>
      </c>
      <c r="K29" s="76">
        <f t="shared" si="14"/>
        <v>7093170.0000000009</v>
      </c>
      <c r="L29" s="82"/>
      <c r="M29" s="148">
        <v>3.66</v>
      </c>
      <c r="N29" s="80"/>
      <c r="O29" s="80">
        <v>0.45</v>
      </c>
      <c r="P29" s="80">
        <f t="shared" ref="P29" si="25">(M29+N29+O29)*10/100</f>
        <v>0.41100000000000003</v>
      </c>
      <c r="Q29" s="81"/>
      <c r="R29" s="80">
        <f t="shared" si="15"/>
        <v>1.0275000000000001</v>
      </c>
      <c r="S29" s="64">
        <f t="shared" si="16"/>
        <v>5.5485000000000007</v>
      </c>
      <c r="T29" s="83">
        <f t="shared" si="17"/>
        <v>7712415.0000000009</v>
      </c>
      <c r="U29" s="60" t="s">
        <v>34</v>
      </c>
      <c r="V29" s="85">
        <f t="shared" si="23"/>
        <v>0.33000000000000007</v>
      </c>
      <c r="W29" s="85"/>
      <c r="X29" s="85"/>
      <c r="Y29" s="85">
        <f t="shared" si="18"/>
        <v>3.2999999999999974E-2</v>
      </c>
      <c r="Z29" s="85"/>
      <c r="AA29" s="85"/>
      <c r="AB29" s="85">
        <f t="shared" si="22"/>
        <v>8.2500000000000129E-2</v>
      </c>
      <c r="AC29" s="85">
        <f t="shared" si="19"/>
        <v>0.44550000000000017</v>
      </c>
      <c r="AD29" s="86">
        <f t="shared" si="20"/>
        <v>619245.00000000023</v>
      </c>
      <c r="AE29" s="84" t="s">
        <v>101</v>
      </c>
    </row>
    <row r="30" spans="1:31" ht="30.75" customHeight="1" x14ac:dyDescent="0.25">
      <c r="A30" s="96">
        <v>11</v>
      </c>
      <c r="B30" s="77" t="s">
        <v>126</v>
      </c>
      <c r="C30" s="79"/>
      <c r="D30" s="148">
        <v>3</v>
      </c>
      <c r="E30" s="80"/>
      <c r="F30" s="80"/>
      <c r="G30" s="80">
        <f>(D30+E30+F30)*7/100</f>
        <v>0.21</v>
      </c>
      <c r="H30" s="81"/>
      <c r="I30" s="80">
        <f t="shared" si="12"/>
        <v>0.75</v>
      </c>
      <c r="J30" s="80">
        <f t="shared" si="13"/>
        <v>3.96</v>
      </c>
      <c r="K30" s="76">
        <f t="shared" si="14"/>
        <v>5504400</v>
      </c>
      <c r="L30" s="82"/>
      <c r="M30" s="148">
        <v>3</v>
      </c>
      <c r="N30" s="80"/>
      <c r="O30" s="80"/>
      <c r="P30" s="80">
        <f>(M30+N30+O30)*8/100</f>
        <v>0.24</v>
      </c>
      <c r="Q30" s="81"/>
      <c r="R30" s="80">
        <f t="shared" si="15"/>
        <v>0.75</v>
      </c>
      <c r="S30" s="64">
        <f t="shared" si="16"/>
        <v>3.99</v>
      </c>
      <c r="T30" s="83">
        <f t="shared" si="17"/>
        <v>5546100</v>
      </c>
      <c r="U30" s="60" t="s">
        <v>34</v>
      </c>
      <c r="V30" s="85">
        <f t="shared" si="23"/>
        <v>0</v>
      </c>
      <c r="W30" s="85"/>
      <c r="X30" s="85"/>
      <c r="Y30" s="85">
        <f t="shared" si="18"/>
        <v>0.03</v>
      </c>
      <c r="Z30" s="85"/>
      <c r="AA30" s="85"/>
      <c r="AB30" s="85">
        <f t="shared" si="22"/>
        <v>0</v>
      </c>
      <c r="AC30" s="85">
        <f t="shared" si="19"/>
        <v>0.03</v>
      </c>
      <c r="AD30" s="86">
        <f t="shared" si="20"/>
        <v>41700</v>
      </c>
      <c r="AE30" s="84" t="s">
        <v>127</v>
      </c>
    </row>
    <row r="31" spans="1:31" ht="36.75" customHeight="1" x14ac:dyDescent="0.25">
      <c r="A31" s="96">
        <v>12</v>
      </c>
      <c r="B31" s="77" t="s">
        <v>119</v>
      </c>
      <c r="C31" s="79"/>
      <c r="D31" s="148">
        <v>2.67</v>
      </c>
      <c r="E31" s="80"/>
      <c r="F31" s="80"/>
      <c r="G31" s="80"/>
      <c r="H31" s="81"/>
      <c r="I31" s="80"/>
      <c r="J31" s="80">
        <f t="shared" si="13"/>
        <v>2.67</v>
      </c>
      <c r="K31" s="76">
        <f t="shared" si="14"/>
        <v>3711300</v>
      </c>
      <c r="L31" s="82"/>
      <c r="M31" s="148">
        <v>3</v>
      </c>
      <c r="N31" s="80"/>
      <c r="O31" s="80"/>
      <c r="P31" s="80"/>
      <c r="Q31" s="81"/>
      <c r="R31" s="80"/>
      <c r="S31" s="64">
        <f t="shared" si="16"/>
        <v>3</v>
      </c>
      <c r="T31" s="83">
        <f t="shared" si="17"/>
        <v>4170000</v>
      </c>
      <c r="U31" s="60" t="s">
        <v>80</v>
      </c>
      <c r="V31" s="85">
        <f t="shared" si="23"/>
        <v>0.33000000000000007</v>
      </c>
      <c r="W31" s="85"/>
      <c r="X31" s="85"/>
      <c r="Y31" s="85">
        <f t="shared" si="18"/>
        <v>0</v>
      </c>
      <c r="Z31" s="85"/>
      <c r="AA31" s="85"/>
      <c r="AB31" s="85">
        <f t="shared" si="22"/>
        <v>0</v>
      </c>
      <c r="AC31" s="85">
        <f t="shared" si="19"/>
        <v>0.33000000000000007</v>
      </c>
      <c r="AD31" s="86">
        <f t="shared" si="20"/>
        <v>458700.00000000012</v>
      </c>
      <c r="AE31" s="84" t="s">
        <v>53</v>
      </c>
    </row>
    <row r="32" spans="1:31" ht="30.75" customHeight="1" x14ac:dyDescent="0.25">
      <c r="A32" s="96">
        <v>13</v>
      </c>
      <c r="B32" s="77" t="s">
        <v>120</v>
      </c>
      <c r="C32" s="79"/>
      <c r="D32" s="148"/>
      <c r="E32" s="80"/>
      <c r="F32" s="80"/>
      <c r="G32" s="80">
        <f t="shared" si="24"/>
        <v>0</v>
      </c>
      <c r="H32" s="81"/>
      <c r="I32" s="80">
        <f t="shared" si="12"/>
        <v>0</v>
      </c>
      <c r="J32" s="80">
        <f t="shared" si="13"/>
        <v>0</v>
      </c>
      <c r="K32" s="76">
        <f t="shared" si="14"/>
        <v>0</v>
      </c>
      <c r="L32" s="82"/>
      <c r="M32" s="148">
        <v>2.2690000000000001</v>
      </c>
      <c r="N32" s="80"/>
      <c r="O32" s="80"/>
      <c r="P32" s="80"/>
      <c r="Q32" s="81"/>
      <c r="R32" s="80">
        <f t="shared" si="15"/>
        <v>0.56725000000000003</v>
      </c>
      <c r="S32" s="64">
        <f t="shared" si="16"/>
        <v>2.8362500000000002</v>
      </c>
      <c r="T32" s="83">
        <f t="shared" si="17"/>
        <v>3942387.5</v>
      </c>
      <c r="U32" s="60" t="s">
        <v>34</v>
      </c>
      <c r="V32" s="85">
        <f t="shared" ref="V32:V34" si="26">M32-D32</f>
        <v>2.2690000000000001</v>
      </c>
      <c r="W32" s="85"/>
      <c r="X32" s="85"/>
      <c r="Y32" s="85">
        <f t="shared" si="18"/>
        <v>0</v>
      </c>
      <c r="Z32" s="85"/>
      <c r="AA32" s="85"/>
      <c r="AB32" s="85">
        <f t="shared" si="22"/>
        <v>0.56725000000000003</v>
      </c>
      <c r="AC32" s="85">
        <f t="shared" si="19"/>
        <v>2.8362500000000002</v>
      </c>
      <c r="AD32" s="86">
        <f t="shared" si="20"/>
        <v>3942387.5</v>
      </c>
      <c r="AE32" s="84" t="s">
        <v>123</v>
      </c>
    </row>
    <row r="33" spans="1:31" ht="30.75" customHeight="1" x14ac:dyDescent="0.25">
      <c r="A33" s="96">
        <v>14</v>
      </c>
      <c r="B33" s="77" t="s">
        <v>121</v>
      </c>
      <c r="C33" s="79"/>
      <c r="D33" s="148"/>
      <c r="E33" s="80"/>
      <c r="F33" s="80"/>
      <c r="G33" s="80"/>
      <c r="H33" s="81"/>
      <c r="I33" s="80"/>
      <c r="J33" s="80"/>
      <c r="K33" s="76"/>
      <c r="L33" s="82"/>
      <c r="M33" s="148">
        <v>1.9890000000000001</v>
      </c>
      <c r="N33" s="80"/>
      <c r="O33" s="80"/>
      <c r="P33" s="80"/>
      <c r="Q33" s="81"/>
      <c r="R33" s="80">
        <f t="shared" si="15"/>
        <v>0.49725000000000003</v>
      </c>
      <c r="S33" s="64">
        <f t="shared" si="16"/>
        <v>2.4862500000000001</v>
      </c>
      <c r="T33" s="83">
        <f t="shared" si="17"/>
        <v>3455887.5</v>
      </c>
      <c r="U33" s="60" t="s">
        <v>34</v>
      </c>
      <c r="V33" s="85">
        <f t="shared" si="26"/>
        <v>1.9890000000000001</v>
      </c>
      <c r="W33" s="85"/>
      <c r="X33" s="85"/>
      <c r="Y33" s="85"/>
      <c r="Z33" s="85"/>
      <c r="AA33" s="85"/>
      <c r="AB33" s="85">
        <f t="shared" si="22"/>
        <v>0.49725000000000003</v>
      </c>
      <c r="AC33" s="85">
        <f t="shared" si="19"/>
        <v>2.4862500000000001</v>
      </c>
      <c r="AD33" s="86">
        <f t="shared" si="20"/>
        <v>3455887.5</v>
      </c>
      <c r="AE33" s="84" t="s">
        <v>123</v>
      </c>
    </row>
    <row r="34" spans="1:31" ht="30.75" customHeight="1" x14ac:dyDescent="0.25">
      <c r="A34" s="96">
        <v>15</v>
      </c>
      <c r="B34" s="77" t="s">
        <v>122</v>
      </c>
      <c r="C34" s="79"/>
      <c r="D34" s="35"/>
      <c r="E34" s="80"/>
      <c r="F34" s="80"/>
      <c r="G34" s="80">
        <f t="shared" si="24"/>
        <v>0</v>
      </c>
      <c r="H34" s="81"/>
      <c r="I34" s="80">
        <f t="shared" si="12"/>
        <v>0</v>
      </c>
      <c r="J34" s="80">
        <f t="shared" si="13"/>
        <v>0</v>
      </c>
      <c r="K34" s="76">
        <f t="shared" si="14"/>
        <v>0</v>
      </c>
      <c r="L34" s="82"/>
      <c r="M34" s="88">
        <v>3.06</v>
      </c>
      <c r="N34" s="80"/>
      <c r="O34" s="80">
        <v>0</v>
      </c>
      <c r="P34" s="80">
        <v>0</v>
      </c>
      <c r="Q34" s="81"/>
      <c r="R34" s="80">
        <v>0</v>
      </c>
      <c r="S34" s="64">
        <f t="shared" si="16"/>
        <v>3.06</v>
      </c>
      <c r="T34" s="83">
        <f t="shared" si="17"/>
        <v>4253400</v>
      </c>
      <c r="U34" s="60" t="s">
        <v>124</v>
      </c>
      <c r="V34" s="85">
        <f t="shared" si="26"/>
        <v>3.06</v>
      </c>
      <c r="W34" s="85"/>
      <c r="X34" s="85"/>
      <c r="Y34" s="85"/>
      <c r="Z34" s="85"/>
      <c r="AA34" s="85"/>
      <c r="AB34" s="85">
        <f t="shared" si="22"/>
        <v>0</v>
      </c>
      <c r="AC34" s="85">
        <f t="shared" si="19"/>
        <v>3.06</v>
      </c>
      <c r="AD34" s="86">
        <f t="shared" si="20"/>
        <v>4253400</v>
      </c>
      <c r="AE34" s="84" t="s">
        <v>125</v>
      </c>
    </row>
    <row r="35" spans="1:31" ht="26.25" customHeight="1" x14ac:dyDescent="0.25">
      <c r="A35" s="34" t="s">
        <v>36</v>
      </c>
      <c r="B35" s="66"/>
      <c r="C35" s="63"/>
      <c r="D35" s="73">
        <f t="shared" ref="D35:AD35" si="27">D36+D40</f>
        <v>0</v>
      </c>
      <c r="E35" s="68">
        <f t="shared" si="27"/>
        <v>0</v>
      </c>
      <c r="F35" s="73">
        <f t="shared" si="27"/>
        <v>0</v>
      </c>
      <c r="G35" s="68">
        <f t="shared" si="27"/>
        <v>0</v>
      </c>
      <c r="H35" s="73">
        <f t="shared" si="27"/>
        <v>0</v>
      </c>
      <c r="I35" s="68">
        <f t="shared" si="27"/>
        <v>0</v>
      </c>
      <c r="J35" s="68">
        <f t="shared" si="27"/>
        <v>0</v>
      </c>
      <c r="K35" s="67">
        <f t="shared" si="27"/>
        <v>0</v>
      </c>
      <c r="L35" s="73">
        <f t="shared" si="27"/>
        <v>0</v>
      </c>
      <c r="M35" s="73">
        <f t="shared" si="27"/>
        <v>0</v>
      </c>
      <c r="N35" s="73">
        <f t="shared" si="27"/>
        <v>0</v>
      </c>
      <c r="O35" s="73">
        <f t="shared" si="27"/>
        <v>0</v>
      </c>
      <c r="P35" s="73">
        <f t="shared" si="27"/>
        <v>0</v>
      </c>
      <c r="Q35" s="73">
        <f t="shared" si="27"/>
        <v>0</v>
      </c>
      <c r="R35" s="73">
        <f t="shared" si="27"/>
        <v>0</v>
      </c>
      <c r="S35" s="73">
        <f t="shared" si="27"/>
        <v>0</v>
      </c>
      <c r="T35" s="73">
        <f t="shared" si="27"/>
        <v>0</v>
      </c>
      <c r="U35" s="73"/>
      <c r="V35" s="73">
        <f t="shared" si="27"/>
        <v>0</v>
      </c>
      <c r="W35" s="68">
        <f t="shared" si="27"/>
        <v>0</v>
      </c>
      <c r="X35" s="73">
        <f t="shared" si="27"/>
        <v>0</v>
      </c>
      <c r="Y35" s="68">
        <f t="shared" si="27"/>
        <v>0</v>
      </c>
      <c r="Z35" s="73">
        <f t="shared" si="27"/>
        <v>0</v>
      </c>
      <c r="AA35" s="73">
        <f t="shared" si="27"/>
        <v>0</v>
      </c>
      <c r="AB35" s="68">
        <f t="shared" si="27"/>
        <v>0</v>
      </c>
      <c r="AC35" s="68">
        <f t="shared" si="27"/>
        <v>0</v>
      </c>
      <c r="AD35" s="67">
        <f t="shared" si="27"/>
        <v>0</v>
      </c>
      <c r="AE35" s="72"/>
    </row>
    <row r="36" spans="1:31" ht="23.25" customHeight="1" x14ac:dyDescent="0.25">
      <c r="A36" s="59"/>
      <c r="B36" s="65" t="s">
        <v>29</v>
      </c>
      <c r="C36" s="60"/>
      <c r="D36" s="74">
        <f>SUM(D37:D39)</f>
        <v>0</v>
      </c>
      <c r="E36" s="74">
        <f t="shared" ref="E36:AE36" si="28">SUM(E37:E39)</f>
        <v>0</v>
      </c>
      <c r="F36" s="74">
        <f t="shared" si="28"/>
        <v>0</v>
      </c>
      <c r="G36" s="78">
        <f t="shared" si="28"/>
        <v>0</v>
      </c>
      <c r="H36" s="74">
        <f t="shared" si="28"/>
        <v>0</v>
      </c>
      <c r="I36" s="78">
        <f t="shared" si="28"/>
        <v>0</v>
      </c>
      <c r="J36" s="78">
        <f t="shared" si="28"/>
        <v>0</v>
      </c>
      <c r="K36" s="75">
        <f t="shared" si="28"/>
        <v>0</v>
      </c>
      <c r="L36" s="74">
        <f t="shared" si="28"/>
        <v>0</v>
      </c>
      <c r="M36" s="74">
        <f t="shared" si="28"/>
        <v>0</v>
      </c>
      <c r="N36" s="74">
        <f t="shared" si="28"/>
        <v>0</v>
      </c>
      <c r="O36" s="74">
        <f t="shared" si="28"/>
        <v>0</v>
      </c>
      <c r="P36" s="74">
        <f t="shared" si="28"/>
        <v>0</v>
      </c>
      <c r="Q36" s="74">
        <f t="shared" si="28"/>
        <v>0</v>
      </c>
      <c r="R36" s="74">
        <f t="shared" si="28"/>
        <v>0</v>
      </c>
      <c r="S36" s="74">
        <f t="shared" si="28"/>
        <v>0</v>
      </c>
      <c r="T36" s="74">
        <f t="shared" si="28"/>
        <v>0</v>
      </c>
      <c r="U36" s="74">
        <f t="shared" si="28"/>
        <v>0</v>
      </c>
      <c r="V36" s="74">
        <f t="shared" si="28"/>
        <v>0</v>
      </c>
      <c r="W36" s="74">
        <f t="shared" si="28"/>
        <v>0</v>
      </c>
      <c r="X36" s="74">
        <f t="shared" si="28"/>
        <v>0</v>
      </c>
      <c r="Y36" s="78">
        <f t="shared" si="28"/>
        <v>0</v>
      </c>
      <c r="Z36" s="74">
        <f t="shared" si="28"/>
        <v>0</v>
      </c>
      <c r="AA36" s="74">
        <f t="shared" si="28"/>
        <v>0</v>
      </c>
      <c r="AB36" s="78">
        <f t="shared" si="28"/>
        <v>0</v>
      </c>
      <c r="AC36" s="78">
        <f t="shared" si="28"/>
        <v>0</v>
      </c>
      <c r="AD36" s="75">
        <f t="shared" si="28"/>
        <v>0</v>
      </c>
      <c r="AE36" s="74">
        <f t="shared" si="28"/>
        <v>0</v>
      </c>
    </row>
    <row r="37" spans="1:31" ht="36.75" hidden="1" customHeight="1" x14ac:dyDescent="0.25">
      <c r="A37" s="51">
        <v>1</v>
      </c>
      <c r="B37" s="160"/>
      <c r="C37" s="160"/>
      <c r="D37" s="161"/>
      <c r="E37" s="162"/>
      <c r="F37" s="162"/>
      <c r="G37" s="162">
        <f>(D37+E37+F37)*15/100</f>
        <v>0</v>
      </c>
      <c r="H37" s="162"/>
      <c r="I37" s="182">
        <f>(D37+E37+F37)*25/100</f>
        <v>0</v>
      </c>
      <c r="J37" s="182">
        <f>SUM(D37:I37)</f>
        <v>0</v>
      </c>
      <c r="K37" s="183">
        <f>J37*$B$6</f>
        <v>0</v>
      </c>
      <c r="L37" s="162"/>
      <c r="M37" s="164"/>
      <c r="N37" s="162"/>
      <c r="O37" s="162"/>
      <c r="P37" s="162"/>
      <c r="Q37" s="162"/>
      <c r="R37" s="162"/>
      <c r="S37" s="165"/>
      <c r="T37" s="163"/>
      <c r="U37" s="166" t="s">
        <v>34</v>
      </c>
      <c r="V37" s="167">
        <f>D37</f>
        <v>0</v>
      </c>
      <c r="W37" s="167">
        <f>E37</f>
        <v>0</v>
      </c>
      <c r="X37" s="167">
        <f>F37</f>
        <v>0</v>
      </c>
      <c r="Y37" s="167">
        <f>G37</f>
        <v>0</v>
      </c>
      <c r="Z37" s="167"/>
      <c r="AA37" s="167"/>
      <c r="AB37" s="167">
        <f>I37</f>
        <v>0</v>
      </c>
      <c r="AC37" s="184">
        <f>SUM(V37:AB37)</f>
        <v>0</v>
      </c>
      <c r="AD37" s="185">
        <f>AC37*$B$6</f>
        <v>0</v>
      </c>
      <c r="AE37" s="168" t="s">
        <v>74</v>
      </c>
    </row>
    <row r="38" spans="1:31" ht="36.75" hidden="1" customHeight="1" x14ac:dyDescent="0.25">
      <c r="A38" s="96">
        <v>2</v>
      </c>
      <c r="B38" s="79"/>
      <c r="C38" s="79"/>
      <c r="D38" s="179"/>
      <c r="E38" s="82"/>
      <c r="F38" s="82"/>
      <c r="G38" s="82"/>
      <c r="H38" s="82"/>
      <c r="I38" s="80">
        <f>(D38+E38+F38)*25/100</f>
        <v>0</v>
      </c>
      <c r="J38" s="80">
        <f>SUM(D38:I38)</f>
        <v>0</v>
      </c>
      <c r="K38" s="76">
        <f>J38*$B$6</f>
        <v>0</v>
      </c>
      <c r="L38" s="82"/>
      <c r="M38" s="180"/>
      <c r="N38" s="82"/>
      <c r="O38" s="82"/>
      <c r="P38" s="82"/>
      <c r="Q38" s="82"/>
      <c r="R38" s="82"/>
      <c r="S38" s="64">
        <f>SUM(M38:R38)</f>
        <v>0</v>
      </c>
      <c r="T38" s="83">
        <f>S38*1390000</f>
        <v>0</v>
      </c>
      <c r="U38" s="60" t="s">
        <v>80</v>
      </c>
      <c r="V38" s="85"/>
      <c r="W38" s="85"/>
      <c r="X38" s="85"/>
      <c r="Y38" s="85"/>
      <c r="Z38" s="85"/>
      <c r="AA38" s="85"/>
      <c r="AB38" s="85">
        <f>I38</f>
        <v>0</v>
      </c>
      <c r="AC38" s="186">
        <f>SUM(V38:AB38)</f>
        <v>0</v>
      </c>
      <c r="AD38" s="187">
        <f>AC38*$B$6</f>
        <v>0</v>
      </c>
      <c r="AE38" s="181" t="s">
        <v>88</v>
      </c>
    </row>
    <row r="39" spans="1:31" ht="36.75" hidden="1" customHeight="1" x14ac:dyDescent="0.25">
      <c r="A39" s="149">
        <v>3</v>
      </c>
      <c r="B39" s="150"/>
      <c r="C39" s="150"/>
      <c r="D39" s="151"/>
      <c r="E39" s="152"/>
      <c r="F39" s="152"/>
      <c r="G39" s="152">
        <f>(D39+E39+F39)*16/100</f>
        <v>0</v>
      </c>
      <c r="H39" s="152"/>
      <c r="I39" s="152">
        <f>(D39+E39+F39)*25/100</f>
        <v>0</v>
      </c>
      <c r="J39" s="152">
        <f>SUM(D39:I39)</f>
        <v>0</v>
      </c>
      <c r="K39" s="153">
        <f>J39*$B$6</f>
        <v>0</v>
      </c>
      <c r="L39" s="152"/>
      <c r="M39" s="154"/>
      <c r="N39" s="152"/>
      <c r="O39" s="152"/>
      <c r="P39" s="152"/>
      <c r="Q39" s="152"/>
      <c r="R39" s="152"/>
      <c r="S39" s="155"/>
      <c r="T39" s="153"/>
      <c r="U39" s="156" t="s">
        <v>34</v>
      </c>
      <c r="V39" s="157">
        <f>D39</f>
        <v>0</v>
      </c>
      <c r="W39" s="157"/>
      <c r="X39" s="157">
        <f>F39</f>
        <v>0</v>
      </c>
      <c r="Y39" s="157">
        <f>G39</f>
        <v>0</v>
      </c>
      <c r="Z39" s="157"/>
      <c r="AA39" s="157"/>
      <c r="AB39" s="157"/>
      <c r="AC39" s="157">
        <f>SUM(V39:AB39)</f>
        <v>0</v>
      </c>
      <c r="AD39" s="158">
        <f>AC39*$B$6</f>
        <v>0</v>
      </c>
      <c r="AE39" s="159" t="s">
        <v>78</v>
      </c>
    </row>
    <row r="40" spans="1:31" ht="63" customHeight="1" x14ac:dyDescent="0.25">
      <c r="A40" s="192"/>
      <c r="B40" s="193" t="s">
        <v>33</v>
      </c>
      <c r="C40" s="193"/>
      <c r="D40" s="194">
        <f>SUM(D41:D43)</f>
        <v>0</v>
      </c>
      <c r="E40" s="194">
        <f t="shared" ref="E40:AD40" si="29">SUM(E41:E43)</f>
        <v>0</v>
      </c>
      <c r="F40" s="194">
        <f t="shared" si="29"/>
        <v>0</v>
      </c>
      <c r="G40" s="194">
        <f t="shared" si="29"/>
        <v>0</v>
      </c>
      <c r="H40" s="194">
        <f t="shared" si="29"/>
        <v>0</v>
      </c>
      <c r="I40" s="195">
        <f t="shared" si="29"/>
        <v>0</v>
      </c>
      <c r="J40" s="195">
        <f t="shared" si="29"/>
        <v>0</v>
      </c>
      <c r="K40" s="196">
        <f t="shared" si="29"/>
        <v>0</v>
      </c>
      <c r="L40" s="194">
        <f t="shared" si="29"/>
        <v>0</v>
      </c>
      <c r="M40" s="194">
        <f t="shared" si="29"/>
        <v>0</v>
      </c>
      <c r="N40" s="194">
        <f t="shared" si="29"/>
        <v>0</v>
      </c>
      <c r="O40" s="194">
        <f t="shared" si="29"/>
        <v>0</v>
      </c>
      <c r="P40" s="194">
        <f t="shared" si="29"/>
        <v>0</v>
      </c>
      <c r="Q40" s="194">
        <f t="shared" si="29"/>
        <v>0</v>
      </c>
      <c r="R40" s="194">
        <f t="shared" si="29"/>
        <v>0</v>
      </c>
      <c r="S40" s="194">
        <f t="shared" si="29"/>
        <v>0</v>
      </c>
      <c r="T40" s="194">
        <f t="shared" si="29"/>
        <v>0</v>
      </c>
      <c r="U40" s="194">
        <f t="shared" si="29"/>
        <v>0</v>
      </c>
      <c r="V40" s="194">
        <f t="shared" si="29"/>
        <v>0</v>
      </c>
      <c r="W40" s="194">
        <f t="shared" si="29"/>
        <v>0</v>
      </c>
      <c r="X40" s="194">
        <f t="shared" si="29"/>
        <v>0</v>
      </c>
      <c r="Y40" s="194">
        <f t="shared" si="29"/>
        <v>0</v>
      </c>
      <c r="Z40" s="194">
        <f t="shared" si="29"/>
        <v>0</v>
      </c>
      <c r="AA40" s="194">
        <f t="shared" si="29"/>
        <v>0</v>
      </c>
      <c r="AB40" s="195">
        <f t="shared" si="29"/>
        <v>0</v>
      </c>
      <c r="AC40" s="195">
        <f t="shared" si="29"/>
        <v>0</v>
      </c>
      <c r="AD40" s="196">
        <f t="shared" si="29"/>
        <v>0</v>
      </c>
      <c r="AE40" s="110"/>
    </row>
    <row r="41" spans="1:31" ht="30.75" hidden="1" customHeight="1" x14ac:dyDescent="0.25">
      <c r="A41" s="172">
        <v>1</v>
      </c>
      <c r="B41" s="160"/>
      <c r="C41" s="160"/>
      <c r="D41" s="164"/>
      <c r="E41" s="164"/>
      <c r="F41" s="164"/>
      <c r="G41" s="162"/>
      <c r="H41" s="173"/>
      <c r="I41" s="162">
        <f>(D41+E41+F41)*25/100</f>
        <v>0</v>
      </c>
      <c r="J41" s="162">
        <f>SUM(D41:I41)</f>
        <v>0</v>
      </c>
      <c r="K41" s="163">
        <f>J41*$B$6</f>
        <v>0</v>
      </c>
      <c r="L41" s="164"/>
      <c r="M41" s="164"/>
      <c r="N41" s="164"/>
      <c r="O41" s="164"/>
      <c r="P41" s="164"/>
      <c r="Q41" s="173"/>
      <c r="R41" s="162"/>
      <c r="S41" s="162"/>
      <c r="T41" s="163"/>
      <c r="U41" s="166" t="s">
        <v>34</v>
      </c>
      <c r="V41" s="174">
        <f>D41</f>
        <v>0</v>
      </c>
      <c r="W41" s="164"/>
      <c r="X41" s="164"/>
      <c r="Y41" s="162"/>
      <c r="Z41" s="164"/>
      <c r="AA41" s="164"/>
      <c r="AB41" s="162">
        <f>I41</f>
        <v>0</v>
      </c>
      <c r="AC41" s="174">
        <f>SUM(V41:AB41)</f>
        <v>0</v>
      </c>
      <c r="AD41" s="163">
        <f>AC41*$B$6</f>
        <v>0</v>
      </c>
      <c r="AE41" s="175" t="s">
        <v>75</v>
      </c>
    </row>
    <row r="42" spans="1:31" ht="30.75" hidden="1" customHeight="1" x14ac:dyDescent="0.25">
      <c r="A42" s="176">
        <v>2</v>
      </c>
      <c r="B42" s="77"/>
      <c r="C42" s="77"/>
      <c r="D42" s="88"/>
      <c r="E42" s="88"/>
      <c r="F42" s="88"/>
      <c r="G42" s="80"/>
      <c r="H42" s="88"/>
      <c r="I42" s="80"/>
      <c r="J42" s="80">
        <f t="shared" ref="J42:J43" si="30">SUM(D42:I42)</f>
        <v>0</v>
      </c>
      <c r="K42" s="76">
        <f t="shared" ref="K42:K43" si="31">J42*$B$6</f>
        <v>0</v>
      </c>
      <c r="L42" s="88"/>
      <c r="M42" s="88"/>
      <c r="N42" s="88"/>
      <c r="O42" s="88"/>
      <c r="P42" s="88"/>
      <c r="Q42" s="88"/>
      <c r="R42" s="80"/>
      <c r="S42" s="80"/>
      <c r="T42" s="76"/>
      <c r="U42" s="177" t="s">
        <v>80</v>
      </c>
      <c r="V42" s="178">
        <f>D42</f>
        <v>0</v>
      </c>
      <c r="W42" s="88"/>
      <c r="X42" s="88"/>
      <c r="Y42" s="80"/>
      <c r="Z42" s="88"/>
      <c r="AA42" s="88"/>
      <c r="AB42" s="80"/>
      <c r="AC42" s="178">
        <f t="shared" ref="AC42:AC43" si="32">SUM(V42:AB42)</f>
        <v>0</v>
      </c>
      <c r="AD42" s="76">
        <f t="shared" ref="AD42:AD43" si="33">AC42*$B$6</f>
        <v>0</v>
      </c>
      <c r="AE42" s="140" t="s">
        <v>78</v>
      </c>
    </row>
    <row r="43" spans="1:31" ht="11.25" hidden="1" customHeight="1" x14ac:dyDescent="0.25">
      <c r="A43" s="169">
        <v>3</v>
      </c>
      <c r="B43" s="150"/>
      <c r="C43" s="150"/>
      <c r="D43" s="154"/>
      <c r="E43" s="154"/>
      <c r="F43" s="154"/>
      <c r="G43" s="152"/>
      <c r="H43" s="154"/>
      <c r="I43" s="152"/>
      <c r="J43" s="152">
        <f t="shared" si="30"/>
        <v>0</v>
      </c>
      <c r="K43" s="153">
        <f t="shared" si="31"/>
        <v>0</v>
      </c>
      <c r="L43" s="154"/>
      <c r="M43" s="154"/>
      <c r="N43" s="154"/>
      <c r="O43" s="154"/>
      <c r="P43" s="154"/>
      <c r="Q43" s="154"/>
      <c r="R43" s="152"/>
      <c r="S43" s="152"/>
      <c r="T43" s="153"/>
      <c r="U43" s="156" t="s">
        <v>82</v>
      </c>
      <c r="V43" s="170">
        <f>D43</f>
        <v>0</v>
      </c>
      <c r="W43" s="154"/>
      <c r="X43" s="154"/>
      <c r="Y43" s="152"/>
      <c r="Z43" s="154"/>
      <c r="AA43" s="154"/>
      <c r="AB43" s="152"/>
      <c r="AC43" s="170">
        <f t="shared" si="32"/>
        <v>0</v>
      </c>
      <c r="AD43" s="153">
        <f t="shared" si="33"/>
        <v>0</v>
      </c>
      <c r="AE43" s="171" t="s">
        <v>83</v>
      </c>
    </row>
    <row r="44" spans="1:31" ht="12.75" customHeight="1" x14ac:dyDescent="0.25">
      <c r="A44" s="43"/>
      <c r="B44" s="42"/>
      <c r="C44" s="8"/>
      <c r="D44" s="9"/>
      <c r="E44" s="10"/>
      <c r="F44" s="11"/>
      <c r="G44" s="22"/>
      <c r="H44" s="22"/>
      <c r="I44" s="22"/>
      <c r="J44" s="23"/>
      <c r="K44" s="24"/>
      <c r="L44" s="12"/>
      <c r="M44" s="13"/>
      <c r="N44" s="13"/>
      <c r="O44" s="7"/>
      <c r="P44" s="7"/>
      <c r="Q44" s="14"/>
      <c r="R44" s="18"/>
      <c r="S44" s="18"/>
      <c r="T44" s="18"/>
      <c r="U44" s="18"/>
      <c r="V44" s="15"/>
      <c r="W44" s="6"/>
      <c r="X44" s="33"/>
      <c r="Y44" s="44"/>
      <c r="Z44" s="44"/>
      <c r="AA44" s="44"/>
      <c r="AB44" s="44"/>
      <c r="AC44" s="44"/>
      <c r="AD44" s="44"/>
      <c r="AE44" s="18"/>
    </row>
    <row r="45" spans="1:31" ht="15.75" x14ac:dyDescent="0.25">
      <c r="A45" s="43"/>
      <c r="B45" s="42"/>
      <c r="C45" s="8"/>
      <c r="D45" s="9"/>
      <c r="E45" s="10"/>
      <c r="F45" s="11"/>
      <c r="G45" s="22"/>
      <c r="H45" s="22"/>
      <c r="I45" s="22"/>
      <c r="J45" s="23"/>
      <c r="K45" s="24"/>
      <c r="L45" s="12"/>
      <c r="M45" s="13"/>
      <c r="N45" s="13"/>
      <c r="O45" s="7"/>
      <c r="P45" s="7"/>
      <c r="Q45" s="14"/>
      <c r="R45" s="18"/>
      <c r="S45" s="18"/>
      <c r="T45" s="18"/>
      <c r="U45" s="18"/>
      <c r="V45" s="15"/>
      <c r="W45" s="6"/>
      <c r="X45" s="33"/>
      <c r="Y45" s="44"/>
      <c r="Z45" s="44"/>
      <c r="AA45" s="301" t="s">
        <v>90</v>
      </c>
      <c r="AB45" s="301"/>
      <c r="AC45" s="301"/>
      <c r="AD45" s="301"/>
      <c r="AE45" s="301"/>
    </row>
    <row r="46" spans="1:31" ht="15.75" x14ac:dyDescent="0.25">
      <c r="A46" s="43"/>
      <c r="B46" s="291" t="s">
        <v>37</v>
      </c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3"/>
      <c r="W46" s="291" t="s">
        <v>38</v>
      </c>
      <c r="X46" s="291"/>
      <c r="Y46" s="291"/>
      <c r="Z46" s="291"/>
      <c r="AA46" s="302" t="s">
        <v>39</v>
      </c>
      <c r="AB46" s="302"/>
      <c r="AC46" s="302"/>
      <c r="AD46" s="302"/>
      <c r="AE46" s="302"/>
    </row>
    <row r="47" spans="1:31" ht="15.75" x14ac:dyDescent="0.25">
      <c r="A47" s="43"/>
      <c r="B47" s="2"/>
      <c r="C47" s="2"/>
      <c r="D47" s="2"/>
      <c r="E47" s="2"/>
      <c r="F47" s="2"/>
      <c r="G47" s="4"/>
      <c r="H47" s="4"/>
      <c r="I47" s="2"/>
      <c r="J47" s="2"/>
      <c r="K47" s="4"/>
      <c r="L47" s="2"/>
      <c r="M47" s="2"/>
      <c r="N47" s="2"/>
      <c r="O47" s="2"/>
      <c r="P47" s="2"/>
      <c r="Q47" s="2"/>
      <c r="R47" s="2"/>
      <c r="S47" s="189"/>
      <c r="T47" s="189"/>
      <c r="U47" s="189"/>
      <c r="V47" s="25"/>
      <c r="W47" s="189"/>
      <c r="X47" s="188"/>
      <c r="Y47" s="2"/>
      <c r="Z47" s="2"/>
      <c r="AA47" s="2"/>
      <c r="AB47" s="188"/>
      <c r="AC47" s="47"/>
      <c r="AD47" s="47"/>
      <c r="AE47" s="4"/>
    </row>
    <row r="48" spans="1:31" ht="15.75" x14ac:dyDescent="0.25">
      <c r="A48" s="43"/>
      <c r="B48" s="2"/>
      <c r="C48" s="2"/>
      <c r="D48" s="2"/>
      <c r="E48" s="2"/>
      <c r="F48" s="2"/>
      <c r="G48" s="4"/>
      <c r="H48" s="4"/>
      <c r="I48" s="2"/>
      <c r="J48" s="2"/>
      <c r="K48" s="4"/>
      <c r="L48" s="2"/>
      <c r="M48" s="2"/>
      <c r="N48" s="2"/>
      <c r="O48" s="2"/>
      <c r="P48" s="2"/>
      <c r="Q48" s="2"/>
      <c r="R48" s="2"/>
      <c r="S48" s="189"/>
      <c r="T48" s="25"/>
      <c r="U48" s="25"/>
      <c r="V48" s="2"/>
      <c r="W48" s="2"/>
      <c r="X48" s="2"/>
      <c r="Y48" s="48"/>
      <c r="Z48" s="2"/>
      <c r="AA48" s="2"/>
      <c r="AB48" s="2"/>
      <c r="AC48" s="41"/>
      <c r="AD48" s="41"/>
      <c r="AE48" s="3"/>
    </row>
    <row r="49" spans="1:31" ht="15.75" x14ac:dyDescent="0.25">
      <c r="A49" s="43"/>
      <c r="B49" s="2"/>
      <c r="C49" s="2"/>
      <c r="D49" s="2"/>
      <c r="E49" s="2"/>
      <c r="F49" s="2"/>
      <c r="G49" s="4"/>
      <c r="H49" s="4"/>
      <c r="I49" s="2"/>
      <c r="J49" s="2"/>
      <c r="K49" s="4"/>
      <c r="L49" s="2"/>
      <c r="M49" s="2"/>
      <c r="N49" s="2"/>
      <c r="O49" s="2"/>
      <c r="P49" s="2"/>
      <c r="Q49" s="2"/>
      <c r="R49" s="2"/>
      <c r="S49" s="2"/>
      <c r="T49" s="25"/>
      <c r="U49" s="25"/>
      <c r="V49" s="2"/>
      <c r="W49" s="2"/>
      <c r="X49" s="2"/>
      <c r="Y49" s="48"/>
      <c r="Z49" s="2"/>
      <c r="AA49" s="2"/>
      <c r="AB49" s="2"/>
      <c r="AC49" s="41"/>
      <c r="AD49" s="41"/>
      <c r="AE49" s="3"/>
    </row>
    <row r="50" spans="1:31" ht="15.75" x14ac:dyDescent="0.25">
      <c r="A50" s="43"/>
      <c r="B50" s="2"/>
      <c r="C50" s="2"/>
      <c r="D50" s="2"/>
      <c r="E50" s="2"/>
      <c r="F50" s="2"/>
      <c r="G50" s="4"/>
      <c r="H50" s="4"/>
      <c r="I50" s="2"/>
      <c r="J50" s="2"/>
      <c r="K50" s="4"/>
      <c r="L50" s="2"/>
      <c r="M50" s="2"/>
      <c r="N50" s="2"/>
      <c r="O50" s="2"/>
      <c r="P50" s="2"/>
      <c r="Q50" s="2"/>
      <c r="R50" s="2"/>
      <c r="S50" s="2"/>
      <c r="T50" s="25"/>
      <c r="U50" s="25"/>
      <c r="V50" s="2"/>
      <c r="W50" s="2"/>
      <c r="X50" s="2"/>
      <c r="Y50" s="48"/>
      <c r="Z50" s="2"/>
      <c r="AA50" s="2"/>
      <c r="AB50" s="2"/>
      <c r="AC50" s="41"/>
      <c r="AD50" s="41"/>
      <c r="AE50" s="3"/>
    </row>
    <row r="51" spans="1:31" ht="15.75" x14ac:dyDescent="0.25">
      <c r="A51" s="43"/>
      <c r="B51" s="2"/>
      <c r="C51" s="2"/>
      <c r="D51" s="2"/>
      <c r="E51" s="2"/>
      <c r="F51" s="2"/>
      <c r="G51" s="4"/>
      <c r="H51" s="4"/>
      <c r="I51" s="2"/>
      <c r="J51" s="2"/>
      <c r="K51" s="4"/>
      <c r="L51" s="2"/>
      <c r="M51" s="2"/>
      <c r="N51" s="2"/>
      <c r="O51" s="2"/>
      <c r="P51" s="2"/>
      <c r="Q51" s="2"/>
      <c r="R51" s="2"/>
      <c r="S51" s="2"/>
      <c r="T51" s="25"/>
      <c r="U51" s="25"/>
      <c r="V51" s="2"/>
      <c r="W51" s="2"/>
      <c r="X51" s="2"/>
      <c r="Y51" s="2"/>
      <c r="Z51" s="2"/>
      <c r="AA51" s="2"/>
      <c r="AB51" s="2"/>
      <c r="AC51" s="41"/>
      <c r="AD51" s="41"/>
      <c r="AE51" s="4"/>
    </row>
    <row r="52" spans="1:31" ht="15.75" x14ac:dyDescent="0.25">
      <c r="A52" s="43"/>
      <c r="B52" s="291" t="s">
        <v>40</v>
      </c>
      <c r="C52" s="291"/>
      <c r="D52" s="291"/>
      <c r="E52" s="291"/>
      <c r="F52" s="291"/>
      <c r="G52" s="291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"/>
      <c r="W52" s="291" t="s">
        <v>41</v>
      </c>
      <c r="X52" s="291"/>
      <c r="Y52" s="291"/>
      <c r="Z52" s="291"/>
      <c r="AA52" s="291" t="s">
        <v>42</v>
      </c>
      <c r="AB52" s="291"/>
      <c r="AC52" s="291"/>
      <c r="AD52" s="291"/>
      <c r="AE52" s="291"/>
    </row>
    <row r="53" spans="1:31" ht="15.75" x14ac:dyDescent="0.25">
      <c r="A53" s="43"/>
      <c r="B53" s="2"/>
      <c r="C53" s="2"/>
      <c r="D53" s="2"/>
      <c r="E53" s="2"/>
      <c r="F53" s="2"/>
      <c r="G53" s="4"/>
      <c r="H53" s="4"/>
      <c r="I53" s="2"/>
      <c r="J53" s="2"/>
      <c r="K53" s="4"/>
      <c r="L53" s="2"/>
      <c r="M53" s="2"/>
      <c r="N53" s="2"/>
      <c r="O53" s="2"/>
      <c r="P53" s="2"/>
      <c r="Q53" s="2"/>
      <c r="R53" s="2"/>
      <c r="S53" s="2"/>
      <c r="T53" s="25"/>
      <c r="U53" s="25"/>
      <c r="V53" s="2"/>
      <c r="W53" s="6"/>
      <c r="X53" s="33"/>
      <c r="Y53" s="2"/>
      <c r="Z53" s="2"/>
      <c r="AA53" s="2"/>
      <c r="AB53" s="2"/>
      <c r="AC53" s="2"/>
      <c r="AD53" s="2"/>
      <c r="AE53" s="2"/>
    </row>
  </sheetData>
  <mergeCells count="20">
    <mergeCell ref="A5:AE5"/>
    <mergeCell ref="A1:U1"/>
    <mergeCell ref="AA1:AE1"/>
    <mergeCell ref="A2:U2"/>
    <mergeCell ref="AA2:AE2"/>
    <mergeCell ref="A3:U3"/>
    <mergeCell ref="B52:U52"/>
    <mergeCell ref="W52:Z52"/>
    <mergeCell ref="AA52:AE52"/>
    <mergeCell ref="A7:A8"/>
    <mergeCell ref="B7:B8"/>
    <mergeCell ref="C7:K7"/>
    <mergeCell ref="L7:T7"/>
    <mergeCell ref="U7:U8"/>
    <mergeCell ref="V7:AD7"/>
    <mergeCell ref="AE7:AE8"/>
    <mergeCell ref="AA45:AE45"/>
    <mergeCell ref="B46:U46"/>
    <mergeCell ref="W46:Z46"/>
    <mergeCell ref="AA46:AE46"/>
  </mergeCells>
  <pageMargins left="0.27559055118110237" right="0.27559055118110237" top="0.55118110236220474" bottom="0.5118110236220472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25" workbookViewId="0">
      <selection activeCell="W16" sqref="W16"/>
    </sheetView>
  </sheetViews>
  <sheetFormatPr defaultRowHeight="15" x14ac:dyDescent="0.25"/>
  <cols>
    <col min="1" max="1" width="6.5703125" style="1" customWidth="1"/>
    <col min="2" max="2" width="27.7109375" style="1" customWidth="1"/>
    <col min="3" max="8" width="9.140625" style="1" hidden="1" customWidth="1"/>
    <col min="9" max="10" width="10.7109375" style="1" hidden="1" customWidth="1"/>
    <col min="11" max="11" width="13.140625" style="1" hidden="1" customWidth="1"/>
    <col min="12" max="12" width="9.140625" style="1" hidden="1" customWidth="1"/>
    <col min="13" max="13" width="10" style="1" hidden="1" customWidth="1"/>
    <col min="14" max="17" width="9.140625" style="1" hidden="1" customWidth="1"/>
    <col min="18" max="18" width="11.5703125" style="1" hidden="1" customWidth="1"/>
    <col min="19" max="19" width="10.5703125" style="1" hidden="1" customWidth="1"/>
    <col min="20" max="20" width="1.85546875" style="1" hidden="1" customWidth="1"/>
    <col min="21" max="21" width="11" style="1" customWidth="1"/>
    <col min="22" max="22" width="9.5703125" style="1" bestFit="1" customWidth="1"/>
    <col min="23" max="23" width="9.140625" style="1"/>
    <col min="24" max="24" width="9" style="1" customWidth="1"/>
    <col min="25" max="25" width="9.5703125" style="1" bestFit="1" customWidth="1"/>
    <col min="26" max="26" width="7.7109375" style="1" customWidth="1"/>
    <col min="27" max="27" width="9.140625" style="1"/>
    <col min="28" max="28" width="8.42578125" style="1" customWidth="1"/>
    <col min="29" max="29" width="9.5703125" style="1" bestFit="1" customWidth="1"/>
    <col min="30" max="30" width="15.42578125" style="1" bestFit="1" customWidth="1"/>
    <col min="31" max="31" width="10.57031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128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1390000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129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43.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26</v>
      </c>
      <c r="AE9" s="27" t="s">
        <v>27</v>
      </c>
    </row>
    <row r="10" spans="1:31" ht="23.25" customHeight="1" x14ac:dyDescent="0.25">
      <c r="A10" s="34" t="s">
        <v>28</v>
      </c>
      <c r="B10" s="32"/>
      <c r="C10" s="31"/>
      <c r="D10" s="49">
        <f t="shared" ref="D10:AD10" si="0">D11+D17</f>
        <v>39.81</v>
      </c>
      <c r="E10" s="50">
        <f t="shared" si="0"/>
        <v>0.59219999999999995</v>
      </c>
      <c r="F10" s="49">
        <f t="shared" si="0"/>
        <v>0.7</v>
      </c>
      <c r="G10" s="50">
        <f t="shared" si="0"/>
        <v>6.6375920000000015</v>
      </c>
      <c r="H10" s="49">
        <f t="shared" si="0"/>
        <v>0</v>
      </c>
      <c r="I10" s="50">
        <f t="shared" si="0"/>
        <v>10.275550000000001</v>
      </c>
      <c r="J10" s="50">
        <f t="shared" si="0"/>
        <v>58.015342000000004</v>
      </c>
      <c r="K10" s="62">
        <f t="shared" si="0"/>
        <v>80641325.379999995</v>
      </c>
      <c r="L10" s="49">
        <f t="shared" si="0"/>
        <v>0</v>
      </c>
      <c r="M10" s="49">
        <f t="shared" si="0"/>
        <v>42.900000000000006</v>
      </c>
      <c r="N10" s="50">
        <f t="shared" si="0"/>
        <v>0.59760000000000002</v>
      </c>
      <c r="O10" s="49">
        <f t="shared" si="0"/>
        <v>0.95</v>
      </c>
      <c r="P10" s="50">
        <f t="shared" si="0"/>
        <v>7.0680639999999997</v>
      </c>
      <c r="Q10" s="49">
        <f t="shared" si="0"/>
        <v>0</v>
      </c>
      <c r="R10" s="50">
        <f t="shared" si="0"/>
        <v>11.111900000000002</v>
      </c>
      <c r="S10" s="50">
        <f t="shared" si="0"/>
        <v>62.627564000000007</v>
      </c>
      <c r="T10" s="62">
        <f t="shared" si="0"/>
        <v>87052313.960000008</v>
      </c>
      <c r="U10" s="49">
        <f t="shared" si="0"/>
        <v>0</v>
      </c>
      <c r="V10" s="49">
        <f t="shared" si="0"/>
        <v>3.0900000000000007</v>
      </c>
      <c r="W10" s="50">
        <f t="shared" si="0"/>
        <v>5.4000000000000714E-3</v>
      </c>
      <c r="X10" s="49">
        <f t="shared" si="0"/>
        <v>0.24999999999999994</v>
      </c>
      <c r="Y10" s="50">
        <f t="shared" si="0"/>
        <v>0.43047200000000019</v>
      </c>
      <c r="Z10" s="49">
        <f t="shared" si="0"/>
        <v>0</v>
      </c>
      <c r="AA10" s="49">
        <f t="shared" si="0"/>
        <v>0</v>
      </c>
      <c r="AB10" s="50">
        <f>AB11+AB17-0.0001</f>
        <v>0.83634999999999993</v>
      </c>
      <c r="AC10" s="50">
        <f t="shared" si="0"/>
        <v>4.6123220000000007</v>
      </c>
      <c r="AD10" s="62">
        <f t="shared" si="0"/>
        <v>6411127.580000001</v>
      </c>
      <c r="AE10" s="31"/>
    </row>
    <row r="11" spans="1:31" ht="21" customHeight="1" x14ac:dyDescent="0.25">
      <c r="A11" s="51"/>
      <c r="B11" s="52" t="s">
        <v>29</v>
      </c>
      <c r="C11" s="51"/>
      <c r="D11" s="53">
        <f t="shared" ref="D11:AD11" si="1">SUM(D12:D16)</f>
        <v>23.82</v>
      </c>
      <c r="E11" s="61">
        <f t="shared" si="1"/>
        <v>0.59219999999999995</v>
      </c>
      <c r="F11" s="53">
        <f t="shared" si="1"/>
        <v>0.7</v>
      </c>
      <c r="G11" s="61">
        <f t="shared" si="1"/>
        <v>5.4216920000000011</v>
      </c>
      <c r="H11" s="53">
        <f t="shared" si="1"/>
        <v>0</v>
      </c>
      <c r="I11" s="61">
        <f t="shared" si="1"/>
        <v>6.2780500000000004</v>
      </c>
      <c r="J11" s="61">
        <f t="shared" si="1"/>
        <v>36.811942000000002</v>
      </c>
      <c r="K11" s="121">
        <f t="shared" si="1"/>
        <v>51168599.380000003</v>
      </c>
      <c r="L11" s="53">
        <f t="shared" si="1"/>
        <v>0</v>
      </c>
      <c r="M11" s="53">
        <f t="shared" si="1"/>
        <v>23.91</v>
      </c>
      <c r="N11" s="61">
        <f t="shared" si="1"/>
        <v>0.59760000000000002</v>
      </c>
      <c r="O11" s="53">
        <f t="shared" si="1"/>
        <v>0.95</v>
      </c>
      <c r="P11" s="61">
        <f t="shared" si="1"/>
        <v>5.6922639999999998</v>
      </c>
      <c r="Q11" s="53">
        <f t="shared" si="1"/>
        <v>0</v>
      </c>
      <c r="R11" s="61">
        <f t="shared" si="1"/>
        <v>6.3644000000000007</v>
      </c>
      <c r="S11" s="61">
        <f t="shared" si="1"/>
        <v>37.514264000000004</v>
      </c>
      <c r="T11" s="121">
        <f t="shared" si="1"/>
        <v>52144826.960000001</v>
      </c>
      <c r="U11" s="53">
        <f t="shared" si="1"/>
        <v>0</v>
      </c>
      <c r="V11" s="53">
        <f t="shared" si="1"/>
        <v>9.0000000000000746E-2</v>
      </c>
      <c r="W11" s="61">
        <f t="shared" si="1"/>
        <v>5.4000000000000714E-3</v>
      </c>
      <c r="X11" s="53">
        <f t="shared" si="1"/>
        <v>0.24999999999999994</v>
      </c>
      <c r="Y11" s="61">
        <f t="shared" si="1"/>
        <v>0.27057200000000015</v>
      </c>
      <c r="Z11" s="53">
        <f t="shared" si="1"/>
        <v>0</v>
      </c>
      <c r="AA11" s="53">
        <f t="shared" si="1"/>
        <v>0</v>
      </c>
      <c r="AB11" s="61">
        <f t="shared" si="1"/>
        <v>8.644999999999993E-2</v>
      </c>
      <c r="AC11" s="61">
        <f t="shared" si="1"/>
        <v>0.70242200000000088</v>
      </c>
      <c r="AD11" s="121">
        <f t="shared" si="1"/>
        <v>976366.58000000124</v>
      </c>
      <c r="AE11" s="51"/>
    </row>
    <row r="12" spans="1:31" ht="60" customHeight="1" x14ac:dyDescent="0.25">
      <c r="A12" s="96">
        <v>1</v>
      </c>
      <c r="B12" s="97" t="s">
        <v>153</v>
      </c>
      <c r="C12" s="96"/>
      <c r="D12" s="98">
        <v>3.99</v>
      </c>
      <c r="E12" s="98"/>
      <c r="F12" s="98">
        <v>0.45</v>
      </c>
      <c r="G12" s="99">
        <f>(D12+E12+F12)*16/100</f>
        <v>0.71040000000000003</v>
      </c>
      <c r="H12" s="98"/>
      <c r="I12" s="99">
        <f>(D12+E12+F12)*25/100</f>
        <v>1.1100000000000001</v>
      </c>
      <c r="J12" s="99">
        <f>SUM(D12:I12)</f>
        <v>6.2604000000000006</v>
      </c>
      <c r="K12" s="100">
        <f>J12*$B$6</f>
        <v>8701956</v>
      </c>
      <c r="L12" s="98"/>
      <c r="M12" s="98">
        <v>3.99</v>
      </c>
      <c r="N12" s="98"/>
      <c r="O12" s="98">
        <v>0.7</v>
      </c>
      <c r="P12" s="99">
        <f>(M12+N12+O12)*16/100</f>
        <v>0.75040000000000007</v>
      </c>
      <c r="Q12" s="98"/>
      <c r="R12" s="99">
        <f>(M12+N12+O12)*25/100</f>
        <v>1.1725000000000001</v>
      </c>
      <c r="S12" s="99">
        <f>SUM(M12:R12)</f>
        <v>6.6129000000000007</v>
      </c>
      <c r="T12" s="100">
        <f>S12*$B$6</f>
        <v>9191931</v>
      </c>
      <c r="U12" s="141" t="s">
        <v>31</v>
      </c>
      <c r="V12" s="98"/>
      <c r="W12" s="99">
        <v>0</v>
      </c>
      <c r="X12" s="98">
        <f>O12-F12</f>
        <v>0.24999999999999994</v>
      </c>
      <c r="Y12" s="99">
        <f>P12-G12</f>
        <v>4.0000000000000036E-2</v>
      </c>
      <c r="Z12" s="98"/>
      <c r="AA12" s="98"/>
      <c r="AB12" s="99">
        <f>R12-I12+0.0001</f>
        <v>6.2600000000000003E-2</v>
      </c>
      <c r="AC12" s="99">
        <f>SUM(V12:AB12)</f>
        <v>0.35259999999999997</v>
      </c>
      <c r="AD12" s="100">
        <f>AC12*$B$6</f>
        <v>490113.99999999994</v>
      </c>
      <c r="AE12" s="84" t="s">
        <v>154</v>
      </c>
    </row>
    <row r="13" spans="1:31" ht="29.25" customHeight="1" x14ac:dyDescent="0.25">
      <c r="A13" s="96">
        <v>2</v>
      </c>
      <c r="B13" s="97" t="s">
        <v>142</v>
      </c>
      <c r="C13" s="147"/>
      <c r="D13" s="200">
        <v>4.8899999999999997</v>
      </c>
      <c r="E13" s="200">
        <f>D13*6/100</f>
        <v>0.29339999999999994</v>
      </c>
      <c r="F13" s="200"/>
      <c r="G13" s="201">
        <f>(D13+E13+F13)*24/100</f>
        <v>1.244016</v>
      </c>
      <c r="H13" s="200"/>
      <c r="I13" s="201">
        <f>(D13+E13+F13)*25/100</f>
        <v>1.2958500000000002</v>
      </c>
      <c r="J13" s="201">
        <f>SUM(D13:I13)</f>
        <v>7.7232660000000006</v>
      </c>
      <c r="K13" s="202">
        <f>J13*$B$6</f>
        <v>10735339.74</v>
      </c>
      <c r="L13" s="200"/>
      <c r="M13" s="200">
        <v>4.9800000000000004</v>
      </c>
      <c r="N13" s="201">
        <f>M13*6/100</f>
        <v>0.29880000000000001</v>
      </c>
      <c r="O13" s="200"/>
      <c r="P13" s="201">
        <f>(M13+N13+O13)*25/100</f>
        <v>1.3197000000000001</v>
      </c>
      <c r="Q13" s="200"/>
      <c r="R13" s="201">
        <f>(M13+N13+O13)*25/100</f>
        <v>1.3197000000000001</v>
      </c>
      <c r="S13" s="201">
        <f>SUM(M13:R13)</f>
        <v>7.9182000000000006</v>
      </c>
      <c r="T13" s="202">
        <f>S13*$B$6</f>
        <v>11006298</v>
      </c>
      <c r="U13" s="203" t="s">
        <v>31</v>
      </c>
      <c r="V13" s="200">
        <f>M13-D13</f>
        <v>9.0000000000000746E-2</v>
      </c>
      <c r="W13" s="201">
        <f>N13-E13</f>
        <v>5.4000000000000714E-3</v>
      </c>
      <c r="X13" s="200"/>
      <c r="Y13" s="201">
        <f>P13-G13</f>
        <v>7.5684000000000085E-2</v>
      </c>
      <c r="Z13" s="200"/>
      <c r="AA13" s="200"/>
      <c r="AB13" s="201">
        <f>R13-I13</f>
        <v>2.3849999999999927E-2</v>
      </c>
      <c r="AC13" s="201">
        <f>SUM(V13:AB13)</f>
        <v>0.19493400000000083</v>
      </c>
      <c r="AD13" s="202">
        <f>AC13*$B$6</f>
        <v>270958.26000000117</v>
      </c>
      <c r="AE13" s="204" t="s">
        <v>143</v>
      </c>
    </row>
    <row r="14" spans="1:31" ht="32.25" customHeight="1" x14ac:dyDescent="0.25">
      <c r="A14" s="96">
        <v>3</v>
      </c>
      <c r="B14" s="136" t="s">
        <v>144</v>
      </c>
      <c r="C14" s="102"/>
      <c r="D14" s="137">
        <v>4.9800000000000004</v>
      </c>
      <c r="E14" s="137">
        <f>D14*6/100</f>
        <v>0.29880000000000001</v>
      </c>
      <c r="F14" s="137"/>
      <c r="G14" s="138">
        <f>(D14+E14+F14)*27/100</f>
        <v>1.425276</v>
      </c>
      <c r="H14" s="137"/>
      <c r="I14" s="138">
        <f t="shared" ref="I14:I15" si="2">(D14+E14+F14)*25/100</f>
        <v>1.3197000000000001</v>
      </c>
      <c r="J14" s="138">
        <f t="shared" ref="J14:J15" si="3">SUM(D14:I14)</f>
        <v>8.0237760000000016</v>
      </c>
      <c r="K14" s="139">
        <f t="shared" ref="K14:K15" si="4">J14*$B$6</f>
        <v>11153048.640000002</v>
      </c>
      <c r="L14" s="137"/>
      <c r="M14" s="137">
        <v>4.9800000000000004</v>
      </c>
      <c r="N14" s="138">
        <f>M14*6/100</f>
        <v>0.29880000000000001</v>
      </c>
      <c r="O14" s="137"/>
      <c r="P14" s="138">
        <f>(M14+N14+O14)*28/100</f>
        <v>1.478064</v>
      </c>
      <c r="Q14" s="137"/>
      <c r="R14" s="138">
        <f t="shared" ref="R14:R15" si="5">(M14+N14+O14)*25/100</f>
        <v>1.3197000000000001</v>
      </c>
      <c r="S14" s="138">
        <f t="shared" ref="S14:S15" si="6">SUM(M14:R14)</f>
        <v>8.0765640000000012</v>
      </c>
      <c r="T14" s="139">
        <f t="shared" ref="T14:T15" si="7">S14*$B$6</f>
        <v>11226423.960000001</v>
      </c>
      <c r="U14" s="191" t="s">
        <v>31</v>
      </c>
      <c r="V14" s="137"/>
      <c r="W14" s="138"/>
      <c r="X14" s="137"/>
      <c r="Y14" s="138">
        <f t="shared" ref="Y14:Y15" si="8">P14-G14</f>
        <v>5.2788000000000057E-2</v>
      </c>
      <c r="Z14" s="137"/>
      <c r="AA14" s="137"/>
      <c r="AB14" s="137"/>
      <c r="AC14" s="138">
        <f t="shared" ref="AC14:AC15" si="9">SUM(V14:AB14)</f>
        <v>5.2788000000000057E-2</v>
      </c>
      <c r="AD14" s="139">
        <f t="shared" ref="AD14:AD15" si="10">AC14*$B$6</f>
        <v>73375.32000000008</v>
      </c>
      <c r="AE14" s="140" t="s">
        <v>145</v>
      </c>
    </row>
    <row r="15" spans="1:31" ht="32.25" customHeight="1" x14ac:dyDescent="0.25">
      <c r="A15" s="96">
        <v>4</v>
      </c>
      <c r="B15" s="199" t="s">
        <v>150</v>
      </c>
      <c r="C15" s="102"/>
      <c r="D15" s="137">
        <v>4.9800000000000004</v>
      </c>
      <c r="E15" s="137"/>
      <c r="F15" s="137"/>
      <c r="G15" s="138">
        <f>(D15+E15+F15)*20/100</f>
        <v>0.99600000000000011</v>
      </c>
      <c r="H15" s="137"/>
      <c r="I15" s="138">
        <f t="shared" si="2"/>
        <v>1.2450000000000001</v>
      </c>
      <c r="J15" s="138">
        <f t="shared" si="3"/>
        <v>7.221000000000001</v>
      </c>
      <c r="K15" s="139">
        <f t="shared" si="4"/>
        <v>10037190.000000002</v>
      </c>
      <c r="L15" s="137"/>
      <c r="M15" s="137">
        <v>4.9800000000000004</v>
      </c>
      <c r="N15" s="137"/>
      <c r="O15" s="137"/>
      <c r="P15" s="138">
        <f>(M15+N15+O15)*21/100</f>
        <v>1.0458000000000001</v>
      </c>
      <c r="Q15" s="137"/>
      <c r="R15" s="138">
        <f t="shared" si="5"/>
        <v>1.2450000000000001</v>
      </c>
      <c r="S15" s="138">
        <f t="shared" si="6"/>
        <v>7.2708000000000004</v>
      </c>
      <c r="T15" s="139">
        <f t="shared" si="7"/>
        <v>10106412</v>
      </c>
      <c r="U15" s="191" t="s">
        <v>31</v>
      </c>
      <c r="V15" s="137"/>
      <c r="W15" s="138"/>
      <c r="X15" s="137"/>
      <c r="Y15" s="138">
        <f t="shared" si="8"/>
        <v>4.9799999999999955E-2</v>
      </c>
      <c r="Z15" s="137"/>
      <c r="AA15" s="137"/>
      <c r="AB15" s="137"/>
      <c r="AC15" s="138">
        <f t="shared" si="9"/>
        <v>4.9799999999999955E-2</v>
      </c>
      <c r="AD15" s="139">
        <f t="shared" si="10"/>
        <v>69221.999999999942</v>
      </c>
      <c r="AE15" s="140" t="s">
        <v>151</v>
      </c>
    </row>
    <row r="16" spans="1:31" ht="32.25" customHeight="1" x14ac:dyDescent="0.25">
      <c r="A16" s="96">
        <v>5</v>
      </c>
      <c r="B16" s="125" t="s">
        <v>152</v>
      </c>
      <c r="C16" s="125"/>
      <c r="D16" s="126">
        <v>4.9800000000000004</v>
      </c>
      <c r="E16" s="127"/>
      <c r="F16" s="127">
        <v>0.25</v>
      </c>
      <c r="G16" s="127">
        <f>(D16+E16+F16)*20/100</f>
        <v>1.046</v>
      </c>
      <c r="H16" s="127"/>
      <c r="I16" s="127">
        <f>(D16+E16+F16)*25/100</f>
        <v>1.3075000000000001</v>
      </c>
      <c r="J16" s="127">
        <f>SUM(D16:I16)</f>
        <v>7.5835000000000008</v>
      </c>
      <c r="K16" s="128">
        <f>J16*$B$6</f>
        <v>10541065.000000002</v>
      </c>
      <c r="L16" s="127"/>
      <c r="M16" s="129">
        <v>4.9800000000000004</v>
      </c>
      <c r="N16" s="127"/>
      <c r="O16" s="127">
        <v>0.25</v>
      </c>
      <c r="P16" s="127">
        <f>(M16+N16+O16)*21/100</f>
        <v>1.0983000000000001</v>
      </c>
      <c r="Q16" s="127"/>
      <c r="R16" s="99">
        <f t="shared" ref="R16" si="11">(M16+N16+O16)*25/100</f>
        <v>1.3075000000000001</v>
      </c>
      <c r="S16" s="130">
        <f>SUM(M16:R16)</f>
        <v>7.6358000000000006</v>
      </c>
      <c r="T16" s="131">
        <f>S16*$B$6</f>
        <v>10613762</v>
      </c>
      <c r="U16" s="132" t="s">
        <v>34</v>
      </c>
      <c r="V16" s="133">
        <v>0</v>
      </c>
      <c r="W16" s="133">
        <f>N16</f>
        <v>0</v>
      </c>
      <c r="X16" s="133"/>
      <c r="Y16" s="99">
        <f t="shared" ref="Y16" si="12">P16-G16</f>
        <v>5.2300000000000013E-2</v>
      </c>
      <c r="Z16" s="133"/>
      <c r="AA16" s="133"/>
      <c r="AB16" s="133"/>
      <c r="AC16" s="99">
        <f t="shared" ref="AC16" si="13">SUM(V16:AB16)</f>
        <v>5.2300000000000013E-2</v>
      </c>
      <c r="AD16" s="100">
        <f t="shared" ref="AD16" si="14">AC16*$B$6</f>
        <v>72697.000000000015</v>
      </c>
      <c r="AE16" s="84" t="s">
        <v>151</v>
      </c>
    </row>
    <row r="17" spans="1:31" ht="36" customHeight="1" x14ac:dyDescent="0.25">
      <c r="A17" s="102"/>
      <c r="B17" s="92" t="s">
        <v>33</v>
      </c>
      <c r="C17" s="69"/>
      <c r="D17" s="106">
        <f t="shared" ref="D17:AD17" si="15">SUM(D18:D23)</f>
        <v>15.99</v>
      </c>
      <c r="E17" s="106">
        <f t="shared" si="15"/>
        <v>0</v>
      </c>
      <c r="F17" s="106">
        <f t="shared" si="15"/>
        <v>0</v>
      </c>
      <c r="G17" s="71">
        <f t="shared" si="15"/>
        <v>1.2159</v>
      </c>
      <c r="H17" s="106">
        <f t="shared" si="15"/>
        <v>0</v>
      </c>
      <c r="I17" s="71">
        <f t="shared" si="15"/>
        <v>3.9975000000000001</v>
      </c>
      <c r="J17" s="71">
        <f t="shared" si="15"/>
        <v>21.203400000000002</v>
      </c>
      <c r="K17" s="70">
        <f t="shared" si="15"/>
        <v>29472726</v>
      </c>
      <c r="L17" s="106">
        <f t="shared" si="15"/>
        <v>0</v>
      </c>
      <c r="M17" s="106">
        <f t="shared" si="15"/>
        <v>18.990000000000002</v>
      </c>
      <c r="N17" s="71">
        <f t="shared" si="15"/>
        <v>0</v>
      </c>
      <c r="O17" s="106">
        <f t="shared" si="15"/>
        <v>0</v>
      </c>
      <c r="P17" s="71">
        <f t="shared" si="15"/>
        <v>1.3758000000000001</v>
      </c>
      <c r="Q17" s="106">
        <f t="shared" si="15"/>
        <v>0</v>
      </c>
      <c r="R17" s="71">
        <f t="shared" si="15"/>
        <v>4.7475000000000005</v>
      </c>
      <c r="S17" s="71">
        <f t="shared" si="15"/>
        <v>25.113299999999999</v>
      </c>
      <c r="T17" s="70">
        <f t="shared" si="15"/>
        <v>34907487</v>
      </c>
      <c r="U17" s="106">
        <f t="shared" si="15"/>
        <v>0</v>
      </c>
      <c r="V17" s="71">
        <f t="shared" si="15"/>
        <v>3</v>
      </c>
      <c r="W17" s="71">
        <f t="shared" si="15"/>
        <v>0</v>
      </c>
      <c r="X17" s="106">
        <f t="shared" si="15"/>
        <v>0</v>
      </c>
      <c r="Y17" s="71">
        <f t="shared" si="15"/>
        <v>0.15990000000000007</v>
      </c>
      <c r="Z17" s="106">
        <f t="shared" si="15"/>
        <v>0</v>
      </c>
      <c r="AA17" s="106">
        <f t="shared" si="15"/>
        <v>0</v>
      </c>
      <c r="AB17" s="71">
        <f t="shared" si="15"/>
        <v>0.75</v>
      </c>
      <c r="AC17" s="71">
        <f t="shared" si="15"/>
        <v>3.9098999999999999</v>
      </c>
      <c r="AD17" s="70">
        <f t="shared" si="15"/>
        <v>5434761</v>
      </c>
      <c r="AE17" s="106">
        <v>0</v>
      </c>
    </row>
    <row r="18" spans="1:31" ht="30.75" customHeight="1" x14ac:dyDescent="0.25">
      <c r="A18" s="96">
        <v>1</v>
      </c>
      <c r="B18" s="77" t="s">
        <v>138</v>
      </c>
      <c r="C18" s="79"/>
      <c r="D18" s="35">
        <v>3.33</v>
      </c>
      <c r="E18" s="80"/>
      <c r="F18" s="80">
        <v>0</v>
      </c>
      <c r="G18" s="80">
        <f>(D18+E18+F18)*11/100</f>
        <v>0.36630000000000001</v>
      </c>
      <c r="H18" s="81"/>
      <c r="I18" s="80">
        <f>(D18+E18+F18)*25/100</f>
        <v>0.83250000000000002</v>
      </c>
      <c r="J18" s="80">
        <f>SUM(D18:I18)</f>
        <v>4.5288000000000004</v>
      </c>
      <c r="K18" s="76">
        <f>J18*$B$6</f>
        <v>6295032.0000000009</v>
      </c>
      <c r="L18" s="82"/>
      <c r="M18" s="88">
        <v>3.33</v>
      </c>
      <c r="N18" s="80"/>
      <c r="O18" s="80">
        <v>0</v>
      </c>
      <c r="P18" s="80">
        <f>(M18+N18+O18)*12/100</f>
        <v>0.39960000000000001</v>
      </c>
      <c r="Q18" s="81"/>
      <c r="R18" s="80">
        <f>(M18+N18+O18)*25/100</f>
        <v>0.83250000000000002</v>
      </c>
      <c r="S18" s="64">
        <f>SUM(M18:R18)</f>
        <v>4.5621</v>
      </c>
      <c r="T18" s="83">
        <f>S18*$B$6</f>
        <v>6341319</v>
      </c>
      <c r="U18" s="60" t="s">
        <v>34</v>
      </c>
      <c r="V18" s="85"/>
      <c r="W18" s="85"/>
      <c r="X18" s="85"/>
      <c r="Y18" s="85">
        <f>P18-G18</f>
        <v>3.3299999999999996E-2</v>
      </c>
      <c r="Z18" s="85"/>
      <c r="AA18" s="85"/>
      <c r="AB18" s="85">
        <v>0</v>
      </c>
      <c r="AC18" s="85">
        <f>SUM(V18:AB18)</f>
        <v>3.3299999999999996E-2</v>
      </c>
      <c r="AD18" s="86">
        <f>AC18*$B$6</f>
        <v>46286.999999999993</v>
      </c>
      <c r="AE18" s="84" t="s">
        <v>139</v>
      </c>
    </row>
    <row r="19" spans="1:31" ht="30.75" customHeight="1" x14ac:dyDescent="0.25">
      <c r="A19" s="96">
        <v>2</v>
      </c>
      <c r="B19" s="77" t="s">
        <v>115</v>
      </c>
      <c r="C19" s="79"/>
      <c r="D19" s="35">
        <v>3.33</v>
      </c>
      <c r="E19" s="80"/>
      <c r="F19" s="80"/>
      <c r="G19" s="80">
        <f>(D19+E19+F19)*6/100</f>
        <v>0.19980000000000001</v>
      </c>
      <c r="H19" s="81"/>
      <c r="I19" s="80">
        <f t="shared" ref="I19:I23" si="16">(D19+E19+F19)*25/100</f>
        <v>0.83250000000000002</v>
      </c>
      <c r="J19" s="80">
        <f t="shared" ref="J19:J23" si="17">SUM(D19:I19)</f>
        <v>4.3623000000000003</v>
      </c>
      <c r="K19" s="76">
        <f t="shared" ref="K19:K23" si="18">J19*$B$6</f>
        <v>6063597</v>
      </c>
      <c r="L19" s="82"/>
      <c r="M19" s="88">
        <v>3.33</v>
      </c>
      <c r="N19" s="80"/>
      <c r="O19" s="80"/>
      <c r="P19" s="80">
        <f>(M19+N19+O19)*7/100</f>
        <v>0.23310000000000003</v>
      </c>
      <c r="Q19" s="81"/>
      <c r="R19" s="80">
        <f t="shared" ref="R19:R23" si="19">(M19+N19+O19)*25/100</f>
        <v>0.83250000000000002</v>
      </c>
      <c r="S19" s="64">
        <f t="shared" ref="S19:S23" si="20">SUM(M19:R19)</f>
        <v>4.3956</v>
      </c>
      <c r="T19" s="83">
        <f t="shared" ref="T19:T23" si="21">S19*$B$6</f>
        <v>6109884</v>
      </c>
      <c r="U19" s="60" t="s">
        <v>34</v>
      </c>
      <c r="V19" s="85"/>
      <c r="W19" s="85"/>
      <c r="X19" s="85"/>
      <c r="Y19" s="85">
        <f t="shared" ref="Y19:Y23" si="22">P19-G19</f>
        <v>3.3300000000000024E-2</v>
      </c>
      <c r="Z19" s="85"/>
      <c r="AA19" s="85"/>
      <c r="AB19" s="85"/>
      <c r="AC19" s="85">
        <f t="shared" ref="AC19:AC23" si="23">SUM(V19:AB19)</f>
        <v>3.3300000000000024E-2</v>
      </c>
      <c r="AD19" s="86">
        <f t="shared" ref="AD19:AD23" si="24">AC19*$B$6</f>
        <v>46287.000000000036</v>
      </c>
      <c r="AE19" s="84" t="s">
        <v>140</v>
      </c>
    </row>
    <row r="20" spans="1:31" ht="30.75" customHeight="1" x14ac:dyDescent="0.25">
      <c r="A20" s="96">
        <v>3</v>
      </c>
      <c r="B20" s="77" t="s">
        <v>141</v>
      </c>
      <c r="C20" s="79"/>
      <c r="D20" s="35">
        <v>3.33</v>
      </c>
      <c r="E20" s="80"/>
      <c r="F20" s="80"/>
      <c r="G20" s="80">
        <f>(D20+E20+F20)*6/100</f>
        <v>0.19980000000000001</v>
      </c>
      <c r="H20" s="81"/>
      <c r="I20" s="80">
        <f t="shared" si="16"/>
        <v>0.83250000000000002</v>
      </c>
      <c r="J20" s="80">
        <f t="shared" si="17"/>
        <v>4.3623000000000003</v>
      </c>
      <c r="K20" s="76">
        <f t="shared" si="18"/>
        <v>6063597</v>
      </c>
      <c r="L20" s="82"/>
      <c r="M20" s="88">
        <v>3.33</v>
      </c>
      <c r="N20" s="80"/>
      <c r="O20" s="80"/>
      <c r="P20" s="80">
        <f>(M20+N20+O20)*7/100</f>
        <v>0.23310000000000003</v>
      </c>
      <c r="Q20" s="81"/>
      <c r="R20" s="80">
        <f t="shared" si="19"/>
        <v>0.83250000000000002</v>
      </c>
      <c r="S20" s="64">
        <f t="shared" si="20"/>
        <v>4.3956</v>
      </c>
      <c r="T20" s="83">
        <f t="shared" si="21"/>
        <v>6109884</v>
      </c>
      <c r="U20" s="60" t="s">
        <v>34</v>
      </c>
      <c r="V20" s="85"/>
      <c r="W20" s="85"/>
      <c r="X20" s="85"/>
      <c r="Y20" s="85">
        <f t="shared" si="22"/>
        <v>3.3300000000000024E-2</v>
      </c>
      <c r="Z20" s="85"/>
      <c r="AA20" s="85"/>
      <c r="AB20" s="85"/>
      <c r="AC20" s="85">
        <f t="shared" si="23"/>
        <v>3.3300000000000024E-2</v>
      </c>
      <c r="AD20" s="86">
        <f t="shared" si="24"/>
        <v>46287.000000000036</v>
      </c>
      <c r="AE20" s="84" t="s">
        <v>140</v>
      </c>
    </row>
    <row r="21" spans="1:31" ht="30.75" customHeight="1" x14ac:dyDescent="0.25">
      <c r="A21" s="96">
        <v>4</v>
      </c>
      <c r="B21" s="77" t="s">
        <v>146</v>
      </c>
      <c r="C21" s="79"/>
      <c r="D21" s="35">
        <v>3</v>
      </c>
      <c r="E21" s="80"/>
      <c r="F21" s="80"/>
      <c r="G21" s="80">
        <f>(D21+E21+F21)*7/100</f>
        <v>0.21</v>
      </c>
      <c r="H21" s="81"/>
      <c r="I21" s="80">
        <f t="shared" si="16"/>
        <v>0.75</v>
      </c>
      <c r="J21" s="80">
        <f t="shared" si="17"/>
        <v>3.96</v>
      </c>
      <c r="K21" s="76">
        <f t="shared" si="18"/>
        <v>5504400</v>
      </c>
      <c r="L21" s="82"/>
      <c r="M21" s="88">
        <v>3</v>
      </c>
      <c r="N21" s="80"/>
      <c r="O21" s="80"/>
      <c r="P21" s="80">
        <f>(M21+N21+O21)*8/100</f>
        <v>0.24</v>
      </c>
      <c r="Q21" s="81"/>
      <c r="R21" s="80">
        <f t="shared" si="19"/>
        <v>0.75</v>
      </c>
      <c r="S21" s="64">
        <f t="shared" si="20"/>
        <v>3.99</v>
      </c>
      <c r="T21" s="83">
        <f t="shared" si="21"/>
        <v>5546100</v>
      </c>
      <c r="U21" s="60" t="s">
        <v>34</v>
      </c>
      <c r="V21" s="85"/>
      <c r="W21" s="85"/>
      <c r="X21" s="85"/>
      <c r="Y21" s="85">
        <f t="shared" si="22"/>
        <v>0.03</v>
      </c>
      <c r="Z21" s="85"/>
      <c r="AA21" s="85"/>
      <c r="AB21" s="85"/>
      <c r="AC21" s="85">
        <f t="shared" si="23"/>
        <v>0.03</v>
      </c>
      <c r="AD21" s="86">
        <f t="shared" si="24"/>
        <v>41700</v>
      </c>
      <c r="AE21" s="84" t="s">
        <v>147</v>
      </c>
    </row>
    <row r="22" spans="1:31" ht="30.75" customHeight="1" x14ac:dyDescent="0.25">
      <c r="A22" s="96">
        <v>5</v>
      </c>
      <c r="B22" s="77" t="s">
        <v>148</v>
      </c>
      <c r="C22" s="79"/>
      <c r="D22" s="148">
        <v>3</v>
      </c>
      <c r="E22" s="80"/>
      <c r="F22" s="80"/>
      <c r="G22" s="80">
        <f>(D22+E22+F22)*8/100</f>
        <v>0.24</v>
      </c>
      <c r="H22" s="81"/>
      <c r="I22" s="80">
        <f t="shared" si="16"/>
        <v>0.75</v>
      </c>
      <c r="J22" s="80">
        <f t="shared" si="17"/>
        <v>3.99</v>
      </c>
      <c r="K22" s="76">
        <f t="shared" si="18"/>
        <v>5546100</v>
      </c>
      <c r="L22" s="82"/>
      <c r="M22" s="88">
        <v>3</v>
      </c>
      <c r="N22" s="80"/>
      <c r="O22" s="80"/>
      <c r="P22" s="80">
        <f>(M22+N22+O22)*9/100</f>
        <v>0.27</v>
      </c>
      <c r="Q22" s="81"/>
      <c r="R22" s="80">
        <f t="shared" si="19"/>
        <v>0.75</v>
      </c>
      <c r="S22" s="64">
        <f t="shared" si="20"/>
        <v>4.0199999999999996</v>
      </c>
      <c r="T22" s="83">
        <f t="shared" si="21"/>
        <v>5587799.9999999991</v>
      </c>
      <c r="U22" s="60" t="s">
        <v>34</v>
      </c>
      <c r="V22" s="85"/>
      <c r="W22" s="85"/>
      <c r="X22" s="85"/>
      <c r="Y22" s="85">
        <f t="shared" si="22"/>
        <v>3.0000000000000027E-2</v>
      </c>
      <c r="Z22" s="85"/>
      <c r="AA22" s="85"/>
      <c r="AB22" s="85"/>
      <c r="AC22" s="85">
        <f t="shared" si="23"/>
        <v>3.0000000000000027E-2</v>
      </c>
      <c r="AD22" s="86">
        <f t="shared" si="24"/>
        <v>41700.000000000036</v>
      </c>
      <c r="AE22" s="84" t="s">
        <v>149</v>
      </c>
    </row>
    <row r="23" spans="1:31" ht="45.75" customHeight="1" x14ac:dyDescent="0.25">
      <c r="A23" s="96">
        <v>6</v>
      </c>
      <c r="B23" s="77" t="s">
        <v>155</v>
      </c>
      <c r="C23" s="79"/>
      <c r="D23" s="148">
        <v>0</v>
      </c>
      <c r="E23" s="80"/>
      <c r="F23" s="80"/>
      <c r="G23" s="80"/>
      <c r="H23" s="81"/>
      <c r="I23" s="80">
        <f t="shared" si="16"/>
        <v>0</v>
      </c>
      <c r="J23" s="80">
        <f t="shared" si="17"/>
        <v>0</v>
      </c>
      <c r="K23" s="76">
        <f t="shared" si="18"/>
        <v>0</v>
      </c>
      <c r="L23" s="82"/>
      <c r="M23" s="88">
        <v>3</v>
      </c>
      <c r="N23" s="80"/>
      <c r="O23" s="80"/>
      <c r="P23" s="80"/>
      <c r="Q23" s="81"/>
      <c r="R23" s="80">
        <f t="shared" si="19"/>
        <v>0.75</v>
      </c>
      <c r="S23" s="64">
        <f t="shared" si="20"/>
        <v>3.75</v>
      </c>
      <c r="T23" s="83">
        <f t="shared" si="21"/>
        <v>5212500</v>
      </c>
      <c r="U23" s="60" t="s">
        <v>34</v>
      </c>
      <c r="V23" s="85">
        <f>M23</f>
        <v>3</v>
      </c>
      <c r="W23" s="85"/>
      <c r="X23" s="85"/>
      <c r="Y23" s="85">
        <f t="shared" si="22"/>
        <v>0</v>
      </c>
      <c r="Z23" s="85"/>
      <c r="AA23" s="85"/>
      <c r="AB23" s="85">
        <f>(V23+W23+X23)*25/100</f>
        <v>0.75</v>
      </c>
      <c r="AC23" s="85">
        <f t="shared" si="23"/>
        <v>3.75</v>
      </c>
      <c r="AD23" s="86">
        <f t="shared" si="24"/>
        <v>5212500</v>
      </c>
      <c r="AE23" s="84" t="s">
        <v>156</v>
      </c>
    </row>
    <row r="24" spans="1:31" ht="22.5" customHeight="1" x14ac:dyDescent="0.25">
      <c r="A24" s="34" t="s">
        <v>36</v>
      </c>
      <c r="B24" s="66"/>
      <c r="C24" s="63"/>
      <c r="D24" s="73">
        <f t="shared" ref="D24:S24" si="25">D25+D27</f>
        <v>12.414000000000001</v>
      </c>
      <c r="E24" s="68">
        <f t="shared" si="25"/>
        <v>0.29880000000000001</v>
      </c>
      <c r="F24" s="73">
        <f t="shared" si="25"/>
        <v>0</v>
      </c>
      <c r="G24" s="68">
        <f t="shared" si="25"/>
        <v>1.7223000000000002</v>
      </c>
      <c r="H24" s="73">
        <f t="shared" si="25"/>
        <v>0</v>
      </c>
      <c r="I24" s="68">
        <f t="shared" si="25"/>
        <v>2.2347000000000001</v>
      </c>
      <c r="J24" s="68">
        <f t="shared" si="25"/>
        <v>16.669800000000002</v>
      </c>
      <c r="K24" s="67">
        <f t="shared" si="25"/>
        <v>23171022</v>
      </c>
      <c r="L24" s="73">
        <f t="shared" si="25"/>
        <v>0</v>
      </c>
      <c r="M24" s="73">
        <f t="shared" si="25"/>
        <v>4.9800000000000004</v>
      </c>
      <c r="N24" s="68">
        <f t="shared" si="25"/>
        <v>0.249</v>
      </c>
      <c r="O24" s="73">
        <f t="shared" si="25"/>
        <v>0</v>
      </c>
      <c r="P24" s="68">
        <f t="shared" si="25"/>
        <v>1.3072999999999999</v>
      </c>
      <c r="Q24" s="73">
        <f t="shared" si="25"/>
        <v>0</v>
      </c>
      <c r="R24" s="68">
        <f t="shared" si="25"/>
        <v>1.3072999999999999</v>
      </c>
      <c r="S24" s="68">
        <f t="shared" si="25"/>
        <v>7.8435999999999995</v>
      </c>
      <c r="T24" s="68">
        <f t="shared" ref="T24" si="26">T25+T27</f>
        <v>0</v>
      </c>
      <c r="U24" s="67">
        <f t="shared" ref="U24" si="27">U25+U27</f>
        <v>0</v>
      </c>
      <c r="V24" s="73">
        <f t="shared" ref="V24:AD24" si="28">V25+V27</f>
        <v>3.774</v>
      </c>
      <c r="W24" s="68">
        <f t="shared" si="28"/>
        <v>4.9799999999999997E-2</v>
      </c>
      <c r="X24" s="73">
        <f t="shared" si="28"/>
        <v>0</v>
      </c>
      <c r="Y24" s="68">
        <f t="shared" si="28"/>
        <v>0.41500000000000009</v>
      </c>
      <c r="Z24" s="73">
        <f t="shared" si="28"/>
        <v>0</v>
      </c>
      <c r="AA24" s="73">
        <f t="shared" si="28"/>
        <v>0</v>
      </c>
      <c r="AB24" s="68">
        <f t="shared" si="28"/>
        <v>0.92749999999999999</v>
      </c>
      <c r="AC24" s="68">
        <f>AC25+AC27</f>
        <v>5.1662999999999997</v>
      </c>
      <c r="AD24" s="67">
        <f t="shared" si="28"/>
        <v>7181157</v>
      </c>
      <c r="AE24" s="72"/>
    </row>
    <row r="25" spans="1:31" ht="23.25" customHeight="1" x14ac:dyDescent="0.25">
      <c r="A25" s="59"/>
      <c r="B25" s="214" t="s">
        <v>29</v>
      </c>
      <c r="C25" s="60"/>
      <c r="D25" s="74">
        <f t="shared" ref="D25:AE25" si="29">SUM(D26:D26)</f>
        <v>4.9800000000000004</v>
      </c>
      <c r="E25" s="78">
        <f t="shared" si="29"/>
        <v>0.29880000000000001</v>
      </c>
      <c r="F25" s="74">
        <f t="shared" si="29"/>
        <v>0</v>
      </c>
      <c r="G25" s="78">
        <f t="shared" si="29"/>
        <v>1.3197000000000001</v>
      </c>
      <c r="H25" s="74">
        <f t="shared" si="29"/>
        <v>0</v>
      </c>
      <c r="I25" s="78">
        <f t="shared" si="29"/>
        <v>1.3197000000000001</v>
      </c>
      <c r="J25" s="78">
        <f t="shared" si="29"/>
        <v>7.9182000000000006</v>
      </c>
      <c r="K25" s="75">
        <f t="shared" si="29"/>
        <v>11006298</v>
      </c>
      <c r="L25" s="74">
        <f t="shared" si="29"/>
        <v>0</v>
      </c>
      <c r="M25" s="74">
        <f t="shared" si="29"/>
        <v>4.9800000000000004</v>
      </c>
      <c r="N25" s="78">
        <f t="shared" si="29"/>
        <v>0.249</v>
      </c>
      <c r="O25" s="74">
        <f t="shared" si="29"/>
        <v>0</v>
      </c>
      <c r="P25" s="78">
        <f t="shared" si="29"/>
        <v>1.3072999999999999</v>
      </c>
      <c r="Q25" s="74">
        <f t="shared" si="29"/>
        <v>0</v>
      </c>
      <c r="R25" s="78">
        <f t="shared" si="29"/>
        <v>1.3072999999999999</v>
      </c>
      <c r="S25" s="78">
        <f t="shared" si="29"/>
        <v>7.8435999999999995</v>
      </c>
      <c r="T25" s="74">
        <f t="shared" si="29"/>
        <v>0</v>
      </c>
      <c r="U25" s="67">
        <f t="shared" si="29"/>
        <v>0</v>
      </c>
      <c r="V25" s="74">
        <f t="shared" si="29"/>
        <v>0</v>
      </c>
      <c r="W25" s="74">
        <f t="shared" si="29"/>
        <v>4.9799999999999997E-2</v>
      </c>
      <c r="X25" s="74">
        <f t="shared" si="29"/>
        <v>0</v>
      </c>
      <c r="Y25" s="78">
        <f t="shared" si="29"/>
        <v>1.24E-2</v>
      </c>
      <c r="Z25" s="74">
        <f t="shared" si="29"/>
        <v>0</v>
      </c>
      <c r="AA25" s="74">
        <f t="shared" si="29"/>
        <v>0</v>
      </c>
      <c r="AB25" s="78">
        <f t="shared" si="29"/>
        <v>1.2499999999999999E-2</v>
      </c>
      <c r="AC25" s="78">
        <f t="shared" si="29"/>
        <v>7.4700000000000003E-2</v>
      </c>
      <c r="AD25" s="75">
        <f t="shared" si="29"/>
        <v>103833</v>
      </c>
      <c r="AE25" s="74">
        <f t="shared" si="29"/>
        <v>0</v>
      </c>
    </row>
    <row r="26" spans="1:31" ht="45.75" customHeight="1" x14ac:dyDescent="0.25">
      <c r="A26" s="207">
        <v>1</v>
      </c>
      <c r="B26" s="215" t="s">
        <v>142</v>
      </c>
      <c r="C26" s="208"/>
      <c r="D26" s="209">
        <v>4.9800000000000004</v>
      </c>
      <c r="E26" s="182">
        <f>ROUND(D26*6/100,4)</f>
        <v>0.29880000000000001</v>
      </c>
      <c r="F26" s="182"/>
      <c r="G26" s="182">
        <f>ROUND((D26+E26+F26)*25/100,4)</f>
        <v>1.3197000000000001</v>
      </c>
      <c r="H26" s="182"/>
      <c r="I26" s="182">
        <f>ROUND((D26+E26+F26)*25/100,4)</f>
        <v>1.3197000000000001</v>
      </c>
      <c r="J26" s="182">
        <f>SUM(D26:I26)</f>
        <v>7.9182000000000006</v>
      </c>
      <c r="K26" s="183">
        <f>ROUND(J26*1390000,0)</f>
        <v>11006298</v>
      </c>
      <c r="L26" s="182"/>
      <c r="M26" s="210">
        <v>4.9800000000000004</v>
      </c>
      <c r="N26" s="182">
        <f>ROUND(M26*5/100,4)</f>
        <v>0.249</v>
      </c>
      <c r="O26" s="182"/>
      <c r="P26" s="182">
        <f>ROUND((M26+N26+O26)*25/100,4)</f>
        <v>1.3072999999999999</v>
      </c>
      <c r="Q26" s="182"/>
      <c r="R26" s="182">
        <f>ROUND((M26+N26+O26)*25/100,4)</f>
        <v>1.3072999999999999</v>
      </c>
      <c r="S26" s="211">
        <f>SUM(M26:R26)</f>
        <v>7.8435999999999995</v>
      </c>
      <c r="T26" s="183"/>
      <c r="U26" s="60" t="s">
        <v>34</v>
      </c>
      <c r="V26" s="184"/>
      <c r="W26" s="184">
        <f>ROUND(E26-N26,4)</f>
        <v>4.9799999999999997E-2</v>
      </c>
      <c r="X26" s="184"/>
      <c r="Y26" s="184">
        <f>ROUND(G26-P26,4)</f>
        <v>1.24E-2</v>
      </c>
      <c r="Z26" s="184"/>
      <c r="AA26" s="184"/>
      <c r="AB26" s="184">
        <f>ROUND(I26-R26,4)+0.0001</f>
        <v>1.2499999999999999E-2</v>
      </c>
      <c r="AC26" s="184">
        <f>SUM(V26:AB26)</f>
        <v>7.4700000000000003E-2</v>
      </c>
      <c r="AD26" s="185">
        <f>ROUND(AC26*1390000,0)</f>
        <v>103833</v>
      </c>
      <c r="AE26" s="212" t="s">
        <v>158</v>
      </c>
    </row>
    <row r="27" spans="1:31" ht="30.75" customHeight="1" x14ac:dyDescent="0.25">
      <c r="A27" s="192"/>
      <c r="B27" s="193" t="s">
        <v>33</v>
      </c>
      <c r="C27" s="193"/>
      <c r="D27" s="194">
        <f>SUM(D28:D30)</f>
        <v>7.4340000000000002</v>
      </c>
      <c r="E27" s="194">
        <f t="shared" ref="E27:AD27" si="30">SUM(E28:E30)</f>
        <v>0</v>
      </c>
      <c r="F27" s="194">
        <f t="shared" si="30"/>
        <v>0</v>
      </c>
      <c r="G27" s="195">
        <f t="shared" si="30"/>
        <v>0.40260000000000007</v>
      </c>
      <c r="H27" s="194">
        <f t="shared" si="30"/>
        <v>0</v>
      </c>
      <c r="I27" s="195">
        <f t="shared" si="30"/>
        <v>0.91500000000000004</v>
      </c>
      <c r="J27" s="195">
        <f t="shared" si="30"/>
        <v>8.7515999999999998</v>
      </c>
      <c r="K27" s="196">
        <f t="shared" si="30"/>
        <v>12164724</v>
      </c>
      <c r="L27" s="194">
        <f t="shared" si="30"/>
        <v>0</v>
      </c>
      <c r="M27" s="194">
        <f t="shared" si="30"/>
        <v>0</v>
      </c>
      <c r="N27" s="194">
        <f t="shared" si="30"/>
        <v>0</v>
      </c>
      <c r="O27" s="194">
        <f t="shared" si="30"/>
        <v>0</v>
      </c>
      <c r="P27" s="194">
        <f t="shared" si="30"/>
        <v>0</v>
      </c>
      <c r="Q27" s="194">
        <f t="shared" si="30"/>
        <v>0</v>
      </c>
      <c r="R27" s="194">
        <f t="shared" si="30"/>
        <v>0</v>
      </c>
      <c r="S27" s="194">
        <f t="shared" si="30"/>
        <v>0</v>
      </c>
      <c r="T27" s="194">
        <f t="shared" si="30"/>
        <v>0</v>
      </c>
      <c r="U27" s="194">
        <f t="shared" si="30"/>
        <v>0</v>
      </c>
      <c r="V27" s="213">
        <f t="shared" si="30"/>
        <v>3.774</v>
      </c>
      <c r="W27" s="194">
        <f t="shared" si="30"/>
        <v>0</v>
      </c>
      <c r="X27" s="194">
        <f t="shared" si="30"/>
        <v>0</v>
      </c>
      <c r="Y27" s="195">
        <f t="shared" si="30"/>
        <v>0.40260000000000007</v>
      </c>
      <c r="Z27" s="194">
        <f t="shared" si="30"/>
        <v>0</v>
      </c>
      <c r="AA27" s="194">
        <f t="shared" si="30"/>
        <v>0</v>
      </c>
      <c r="AB27" s="195">
        <f t="shared" si="30"/>
        <v>0.91500000000000004</v>
      </c>
      <c r="AC27" s="195">
        <f t="shared" si="30"/>
        <v>5.0915999999999997</v>
      </c>
      <c r="AD27" s="196">
        <f t="shared" si="30"/>
        <v>7077324</v>
      </c>
      <c r="AE27" s="110"/>
    </row>
    <row r="28" spans="1:31" ht="27" customHeight="1" x14ac:dyDescent="0.25">
      <c r="A28" s="172">
        <v>1</v>
      </c>
      <c r="B28" s="160" t="s">
        <v>130</v>
      </c>
      <c r="C28" s="160"/>
      <c r="D28" s="174">
        <v>1.7849999999999999</v>
      </c>
      <c r="E28" s="164"/>
      <c r="F28" s="164"/>
      <c r="G28" s="162"/>
      <c r="H28" s="173"/>
      <c r="I28" s="162"/>
      <c r="J28" s="162">
        <f>SUM(D28:I28)</f>
        <v>1.7849999999999999</v>
      </c>
      <c r="K28" s="163">
        <f>J28*$B$6</f>
        <v>2481150</v>
      </c>
      <c r="L28" s="164"/>
      <c r="M28" s="164"/>
      <c r="N28" s="164"/>
      <c r="O28" s="164"/>
      <c r="P28" s="164"/>
      <c r="Q28" s="173"/>
      <c r="R28" s="162"/>
      <c r="S28" s="162"/>
      <c r="T28" s="163"/>
      <c r="U28" s="166" t="s">
        <v>131</v>
      </c>
      <c r="V28" s="174">
        <f>D28</f>
        <v>1.7849999999999999</v>
      </c>
      <c r="W28" s="164"/>
      <c r="X28" s="164"/>
      <c r="Y28" s="162"/>
      <c r="Z28" s="164"/>
      <c r="AA28" s="164"/>
      <c r="AB28" s="162">
        <f>I28</f>
        <v>0</v>
      </c>
      <c r="AC28" s="174">
        <f>SUM(V28:AB28)</f>
        <v>1.7849999999999999</v>
      </c>
      <c r="AD28" s="163">
        <f>AC28*$B$6</f>
        <v>2481150</v>
      </c>
      <c r="AE28" s="175" t="s">
        <v>132</v>
      </c>
    </row>
    <row r="29" spans="1:31" ht="30.75" customHeight="1" x14ac:dyDescent="0.25">
      <c r="A29" s="176">
        <v>2</v>
      </c>
      <c r="B29" s="77" t="s">
        <v>133</v>
      </c>
      <c r="C29" s="77"/>
      <c r="D29" s="178">
        <v>1.9890000000000001</v>
      </c>
      <c r="E29" s="88"/>
      <c r="F29" s="88"/>
      <c r="G29" s="80"/>
      <c r="H29" s="88"/>
      <c r="I29" s="80"/>
      <c r="J29" s="80">
        <f t="shared" ref="J29:J30" si="31">SUM(D29:I29)</f>
        <v>1.9890000000000001</v>
      </c>
      <c r="K29" s="76">
        <f t="shared" ref="K29:K30" si="32">J29*$B$6</f>
        <v>2764710</v>
      </c>
      <c r="L29" s="88"/>
      <c r="M29" s="88"/>
      <c r="N29" s="88"/>
      <c r="O29" s="88"/>
      <c r="P29" s="88"/>
      <c r="Q29" s="88"/>
      <c r="R29" s="80"/>
      <c r="S29" s="80"/>
      <c r="T29" s="76"/>
      <c r="U29" s="177" t="s">
        <v>80</v>
      </c>
      <c r="V29" s="178">
        <f>D29</f>
        <v>1.9890000000000001</v>
      </c>
      <c r="W29" s="88"/>
      <c r="X29" s="88"/>
      <c r="Y29" s="80"/>
      <c r="Z29" s="88"/>
      <c r="AA29" s="88"/>
      <c r="AB29" s="80"/>
      <c r="AC29" s="178">
        <f t="shared" ref="AC29:AC30" si="33">SUM(V29:AB29)</f>
        <v>1.9890000000000001</v>
      </c>
      <c r="AD29" s="76">
        <f t="shared" ref="AD29:AD30" si="34">AC29*$B$6</f>
        <v>2764710</v>
      </c>
      <c r="AE29" s="140" t="s">
        <v>134</v>
      </c>
    </row>
    <row r="30" spans="1:31" ht="57" customHeight="1" x14ac:dyDescent="0.25">
      <c r="A30" s="169">
        <v>3</v>
      </c>
      <c r="B30" s="150" t="s">
        <v>135</v>
      </c>
      <c r="C30" s="150"/>
      <c r="D30" s="154">
        <v>3.66</v>
      </c>
      <c r="E30" s="154"/>
      <c r="F30" s="154"/>
      <c r="G30" s="152">
        <f>(D30+E30+F30)*11/100</f>
        <v>0.40260000000000007</v>
      </c>
      <c r="H30" s="154"/>
      <c r="I30" s="152">
        <f>(D30+E30+F30)*25/100</f>
        <v>0.91500000000000004</v>
      </c>
      <c r="J30" s="152">
        <f t="shared" si="31"/>
        <v>4.9775999999999998</v>
      </c>
      <c r="K30" s="153">
        <f t="shared" si="32"/>
        <v>6918864</v>
      </c>
      <c r="L30" s="154"/>
      <c r="M30" s="154"/>
      <c r="N30" s="154"/>
      <c r="O30" s="154"/>
      <c r="P30" s="154"/>
      <c r="Q30" s="154"/>
      <c r="R30" s="152"/>
      <c r="S30" s="152"/>
      <c r="T30" s="153"/>
      <c r="U30" s="156" t="s">
        <v>136</v>
      </c>
      <c r="V30" s="95"/>
      <c r="W30" s="154"/>
      <c r="X30" s="154"/>
      <c r="Y30" s="152">
        <f>G30</f>
        <v>0.40260000000000007</v>
      </c>
      <c r="Z30" s="154"/>
      <c r="AA30" s="154"/>
      <c r="AB30" s="152">
        <f>I30</f>
        <v>0.91500000000000004</v>
      </c>
      <c r="AC30" s="170">
        <f t="shared" si="33"/>
        <v>1.3176000000000001</v>
      </c>
      <c r="AD30" s="153">
        <f t="shared" si="34"/>
        <v>1831464.0000000002</v>
      </c>
      <c r="AE30" s="171" t="s">
        <v>137</v>
      </c>
    </row>
    <row r="31" spans="1:31" ht="12.75" customHeight="1" x14ac:dyDescent="0.25">
      <c r="A31" s="43"/>
      <c r="B31" s="42"/>
      <c r="C31" s="8"/>
      <c r="D31" s="9"/>
      <c r="E31" s="10"/>
      <c r="F31" s="11"/>
      <c r="G31" s="22"/>
      <c r="H31" s="22"/>
      <c r="I31" s="22"/>
      <c r="J31" s="23"/>
      <c r="K31" s="24"/>
      <c r="L31" s="12"/>
      <c r="M31" s="13"/>
      <c r="N31" s="13"/>
      <c r="O31" s="7"/>
      <c r="P31" s="7"/>
      <c r="Q31" s="14"/>
      <c r="R31" s="18"/>
      <c r="S31" s="18"/>
      <c r="T31" s="18"/>
      <c r="U31" s="18"/>
      <c r="V31" s="15"/>
      <c r="W31" s="6"/>
      <c r="X31" s="33"/>
      <c r="Y31" s="44"/>
      <c r="Z31" s="44"/>
      <c r="AA31" s="44"/>
      <c r="AB31" s="44"/>
      <c r="AC31" s="44"/>
      <c r="AD31" s="44"/>
      <c r="AE31" s="18"/>
    </row>
    <row r="32" spans="1:31" ht="15.75" x14ac:dyDescent="0.25">
      <c r="A32" s="43"/>
      <c r="B32" s="42"/>
      <c r="C32" s="8"/>
      <c r="D32" s="9"/>
      <c r="E32" s="10"/>
      <c r="F32" s="11"/>
      <c r="G32" s="22"/>
      <c r="H32" s="22"/>
      <c r="I32" s="22"/>
      <c r="J32" s="23"/>
      <c r="K32" s="24"/>
      <c r="L32" s="12"/>
      <c r="M32" s="13"/>
      <c r="N32" s="13"/>
      <c r="O32" s="7"/>
      <c r="P32" s="7"/>
      <c r="Q32" s="14"/>
      <c r="R32" s="18"/>
      <c r="S32" s="18"/>
      <c r="T32" s="18"/>
      <c r="U32" s="18"/>
      <c r="V32" s="15"/>
      <c r="W32" s="6"/>
      <c r="X32" s="33"/>
      <c r="Y32" s="44"/>
      <c r="Z32" s="44"/>
      <c r="AA32" s="301" t="s">
        <v>157</v>
      </c>
      <c r="AB32" s="301"/>
      <c r="AC32" s="301"/>
      <c r="AD32" s="301"/>
      <c r="AE32" s="301"/>
    </row>
    <row r="33" spans="1:31" ht="15.75" x14ac:dyDescent="0.25">
      <c r="A33" s="43"/>
      <c r="B33" s="291" t="s">
        <v>37</v>
      </c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T33" s="291"/>
      <c r="U33" s="291"/>
      <c r="V33" s="3"/>
      <c r="W33" s="291" t="s">
        <v>38</v>
      </c>
      <c r="X33" s="291"/>
      <c r="Y33" s="291"/>
      <c r="Z33" s="291"/>
      <c r="AA33" s="302" t="s">
        <v>39</v>
      </c>
      <c r="AB33" s="302"/>
      <c r="AC33" s="302"/>
      <c r="AD33" s="302"/>
      <c r="AE33" s="302"/>
    </row>
    <row r="34" spans="1:31" ht="15.75" x14ac:dyDescent="0.25">
      <c r="A34" s="43"/>
      <c r="B34" s="2"/>
      <c r="C34" s="2"/>
      <c r="D34" s="2"/>
      <c r="E34" s="2"/>
      <c r="F34" s="2"/>
      <c r="G34" s="4"/>
      <c r="H34" s="4"/>
      <c r="I34" s="2"/>
      <c r="J34" s="2"/>
      <c r="K34" s="4"/>
      <c r="L34" s="2"/>
      <c r="M34" s="2"/>
      <c r="N34" s="2"/>
      <c r="O34" s="2"/>
      <c r="P34" s="2"/>
      <c r="Q34" s="2"/>
      <c r="R34" s="2"/>
      <c r="S34" s="198"/>
      <c r="T34" s="198"/>
      <c r="U34" s="198"/>
      <c r="V34" s="25"/>
      <c r="W34" s="198"/>
      <c r="X34" s="197"/>
      <c r="Y34" s="2"/>
      <c r="Z34" s="2"/>
      <c r="AA34" s="2"/>
      <c r="AB34" s="197"/>
      <c r="AC34" s="47"/>
      <c r="AD34" s="47"/>
      <c r="AE34" s="4"/>
    </row>
    <row r="35" spans="1:31" ht="15.75" x14ac:dyDescent="0.25">
      <c r="A35" s="43"/>
      <c r="B35" s="2"/>
      <c r="C35" s="2"/>
      <c r="D35" s="2"/>
      <c r="E35" s="2"/>
      <c r="F35" s="2"/>
      <c r="G35" s="4"/>
      <c r="H35" s="4"/>
      <c r="I35" s="2"/>
      <c r="J35" s="2"/>
      <c r="K35" s="4"/>
      <c r="L35" s="2"/>
      <c r="M35" s="2"/>
      <c r="N35" s="2"/>
      <c r="O35" s="2"/>
      <c r="P35" s="2"/>
      <c r="Q35" s="2"/>
      <c r="R35" s="2"/>
      <c r="S35" s="198"/>
      <c r="T35" s="25"/>
      <c r="U35" s="25"/>
      <c r="V35" s="2"/>
      <c r="W35" s="2"/>
      <c r="X35" s="2"/>
      <c r="Y35" s="48"/>
      <c r="Z35" s="2"/>
      <c r="AA35" s="2"/>
      <c r="AB35" s="2"/>
      <c r="AC35" s="41"/>
      <c r="AD35" s="41"/>
      <c r="AE35" s="3"/>
    </row>
    <row r="36" spans="1:31" ht="15.75" x14ac:dyDescent="0.25">
      <c r="A36" s="43"/>
      <c r="B36" s="2"/>
      <c r="C36" s="2"/>
      <c r="D36" s="2"/>
      <c r="E36" s="2"/>
      <c r="F36" s="2"/>
      <c r="G36" s="4"/>
      <c r="H36" s="4"/>
      <c r="I36" s="2"/>
      <c r="J36" s="2"/>
      <c r="K36" s="4"/>
      <c r="L36" s="2"/>
      <c r="M36" s="2"/>
      <c r="N36" s="2"/>
      <c r="O36" s="2"/>
      <c r="P36" s="2"/>
      <c r="Q36" s="2"/>
      <c r="R36" s="2"/>
      <c r="S36" s="2"/>
      <c r="T36" s="25"/>
      <c r="U36" s="25"/>
      <c r="V36" s="2"/>
      <c r="W36" s="2"/>
      <c r="X36" s="2"/>
      <c r="Y36" s="48"/>
      <c r="Z36" s="2"/>
      <c r="AA36" s="2"/>
      <c r="AB36" s="2"/>
      <c r="AC36" s="41"/>
      <c r="AD36" s="41"/>
      <c r="AE36" s="3"/>
    </row>
    <row r="37" spans="1:31" ht="15.75" x14ac:dyDescent="0.25">
      <c r="A37" s="43"/>
      <c r="B37" s="2"/>
      <c r="C37" s="2"/>
      <c r="D37" s="2"/>
      <c r="E37" s="2"/>
      <c r="F37" s="2"/>
      <c r="G37" s="4"/>
      <c r="H37" s="4"/>
      <c r="I37" s="2"/>
      <c r="J37" s="2"/>
      <c r="K37" s="4"/>
      <c r="L37" s="2"/>
      <c r="M37" s="2"/>
      <c r="N37" s="2"/>
      <c r="O37" s="2"/>
      <c r="P37" s="2"/>
      <c r="Q37" s="2"/>
      <c r="R37" s="2"/>
      <c r="S37" s="2"/>
      <c r="T37" s="25"/>
      <c r="U37" s="25"/>
      <c r="V37" s="2"/>
      <c r="W37" s="2"/>
      <c r="X37" s="2"/>
      <c r="Y37" s="48"/>
      <c r="Z37" s="2"/>
      <c r="AA37" s="2"/>
      <c r="AB37" s="2"/>
      <c r="AC37" s="41"/>
      <c r="AD37" s="41"/>
      <c r="AE37" s="3"/>
    </row>
    <row r="38" spans="1:31" ht="15.75" x14ac:dyDescent="0.25">
      <c r="A38" s="43"/>
      <c r="B38" s="291" t="s">
        <v>40</v>
      </c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2"/>
      <c r="W38" s="291" t="s">
        <v>41</v>
      </c>
      <c r="X38" s="291"/>
      <c r="Y38" s="291"/>
      <c r="Z38" s="291"/>
      <c r="AA38" s="291" t="s">
        <v>42</v>
      </c>
      <c r="AB38" s="291"/>
      <c r="AC38" s="291"/>
      <c r="AD38" s="291"/>
      <c r="AE38" s="291"/>
    </row>
    <row r="39" spans="1:31" ht="15.75" x14ac:dyDescent="0.25">
      <c r="A39" s="43"/>
      <c r="B39" s="2"/>
      <c r="C39" s="2"/>
      <c r="D39" s="2"/>
      <c r="E39" s="2"/>
      <c r="F39" s="2"/>
      <c r="G39" s="4"/>
      <c r="H39" s="4"/>
      <c r="I39" s="2"/>
      <c r="J39" s="2"/>
      <c r="K39" s="4"/>
      <c r="L39" s="2"/>
      <c r="M39" s="2"/>
      <c r="N39" s="2"/>
      <c r="O39" s="2"/>
      <c r="P39" s="2"/>
      <c r="Q39" s="2"/>
      <c r="R39" s="2"/>
      <c r="S39" s="2"/>
      <c r="T39" s="25"/>
      <c r="U39" s="25"/>
      <c r="V39" s="2"/>
      <c r="W39" s="6"/>
      <c r="X39" s="33"/>
      <c r="Y39" s="2"/>
      <c r="Z39" s="2"/>
      <c r="AA39" s="2"/>
      <c r="AB39" s="2"/>
      <c r="AC39" s="2"/>
      <c r="AD39" s="2"/>
      <c r="AE39" s="2"/>
    </row>
  </sheetData>
  <mergeCells count="20">
    <mergeCell ref="A5:AE5"/>
    <mergeCell ref="A1:U1"/>
    <mergeCell ref="AA1:AE1"/>
    <mergeCell ref="A2:U2"/>
    <mergeCell ref="AA2:AE2"/>
    <mergeCell ref="A3:U3"/>
    <mergeCell ref="B38:U38"/>
    <mergeCell ref="W38:Z38"/>
    <mergeCell ref="AA38:AE38"/>
    <mergeCell ref="A7:A8"/>
    <mergeCell ref="B7:B8"/>
    <mergeCell ref="C7:K7"/>
    <mergeCell ref="L7:T7"/>
    <mergeCell ref="U7:U8"/>
    <mergeCell ref="V7:AD7"/>
    <mergeCell ref="AE7:AE8"/>
    <mergeCell ref="AA32:AE32"/>
    <mergeCell ref="B33:U33"/>
    <mergeCell ref="W33:Z33"/>
    <mergeCell ref="AA33:AE33"/>
  </mergeCells>
  <pageMargins left="0.23622047244094491" right="0.19685039370078741" top="0.43307086614173229" bottom="0.28000000000000003" header="0.31496062992125984" footer="0.19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workbookViewId="0">
      <pane ySplit="8" topLeftCell="A9" activePane="bottomLeft" state="frozen"/>
      <selection pane="bottomLeft" activeCell="AE25" sqref="AE25"/>
    </sheetView>
  </sheetViews>
  <sheetFormatPr defaultRowHeight="15" x14ac:dyDescent="0.25"/>
  <cols>
    <col min="1" max="1" width="4.5703125" style="1" customWidth="1"/>
    <col min="2" max="2" width="24.5703125" style="1" customWidth="1"/>
    <col min="3" max="8" width="9.140625" style="1" hidden="1" customWidth="1"/>
    <col min="9" max="10" width="10.7109375" style="1" hidden="1" customWidth="1"/>
    <col min="11" max="11" width="13.140625" style="1" hidden="1" customWidth="1"/>
    <col min="12" max="12" width="9.140625" style="1" hidden="1" customWidth="1"/>
    <col min="13" max="13" width="10" style="1" hidden="1" customWidth="1"/>
    <col min="14" max="14" width="9.5703125" style="1" hidden="1" customWidth="1"/>
    <col min="15" max="17" width="9.140625" style="1" hidden="1" customWidth="1"/>
    <col min="18" max="18" width="11.5703125" style="1" hidden="1" customWidth="1"/>
    <col min="19" max="19" width="10.5703125" style="1" hidden="1" customWidth="1"/>
    <col min="20" max="20" width="12.7109375" style="1" hidden="1" customWidth="1"/>
    <col min="21" max="21" width="11.5703125" style="1" customWidth="1"/>
    <col min="22" max="22" width="9.5703125" style="1" bestFit="1" customWidth="1"/>
    <col min="23" max="23" width="9.140625" style="1"/>
    <col min="24" max="24" width="9" style="1" customWidth="1"/>
    <col min="25" max="25" width="9.5703125" style="1" bestFit="1" customWidth="1"/>
    <col min="26" max="26" width="7.7109375" style="1" customWidth="1"/>
    <col min="27" max="27" width="9.140625" style="1"/>
    <col min="28" max="28" width="8.42578125" style="1" customWidth="1"/>
    <col min="29" max="29" width="9.5703125" style="1" bestFit="1" customWidth="1"/>
    <col min="30" max="30" width="15.42578125" style="1" bestFit="1" customWidth="1"/>
    <col min="31" max="31" width="11.425781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159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1390000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192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48.7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26</v>
      </c>
      <c r="AE9" s="27" t="s">
        <v>27</v>
      </c>
    </row>
    <row r="10" spans="1:31" ht="30.75" customHeight="1" x14ac:dyDescent="0.25">
      <c r="A10" s="34" t="s">
        <v>28</v>
      </c>
      <c r="B10" s="32"/>
      <c r="C10" s="31"/>
      <c r="D10" s="49">
        <f t="shared" ref="D10:AD10" si="0">D11+D16</f>
        <v>61.167000000000002</v>
      </c>
      <c r="E10" s="50">
        <f t="shared" si="0"/>
        <v>0.89640000000000009</v>
      </c>
      <c r="F10" s="49">
        <f t="shared" si="0"/>
        <v>1.0499999999999998</v>
      </c>
      <c r="G10" s="50">
        <f t="shared" si="0"/>
        <v>4.6796000000000006</v>
      </c>
      <c r="H10" s="49">
        <f t="shared" si="0"/>
        <v>0</v>
      </c>
      <c r="I10" s="50">
        <f t="shared" si="0"/>
        <v>10.096399999999999</v>
      </c>
      <c r="J10" s="50">
        <f t="shared" si="0"/>
        <v>77.889400000000009</v>
      </c>
      <c r="K10" s="62">
        <f t="shared" si="0"/>
        <v>108266266</v>
      </c>
      <c r="L10" s="49">
        <f t="shared" si="0"/>
        <v>0</v>
      </c>
      <c r="M10" s="49">
        <f t="shared" si="0"/>
        <v>64.240000000000009</v>
      </c>
      <c r="N10" s="50">
        <f t="shared" si="0"/>
        <v>1.0458000000000001</v>
      </c>
      <c r="O10" s="49">
        <f t="shared" si="0"/>
        <v>1.4</v>
      </c>
      <c r="P10" s="50">
        <f t="shared" si="0"/>
        <v>4.9058000000000002</v>
      </c>
      <c r="Q10" s="49">
        <f t="shared" si="0"/>
        <v>0</v>
      </c>
      <c r="R10" s="50">
        <f t="shared" si="0"/>
        <v>10.574399999999999</v>
      </c>
      <c r="S10" s="50">
        <f t="shared" si="0"/>
        <v>82.165999999999983</v>
      </c>
      <c r="T10" s="62">
        <f t="shared" si="0"/>
        <v>114210740</v>
      </c>
      <c r="U10" s="49">
        <f t="shared" si="0"/>
        <v>0</v>
      </c>
      <c r="V10" s="49">
        <f t="shared" si="0"/>
        <v>3.0729999999999986</v>
      </c>
      <c r="W10" s="50">
        <f t="shared" si="0"/>
        <v>0.14939999999999998</v>
      </c>
      <c r="X10" s="49">
        <f t="shared" si="0"/>
        <v>0.35</v>
      </c>
      <c r="Y10" s="50">
        <f t="shared" si="0"/>
        <v>0.22620000000000032</v>
      </c>
      <c r="Z10" s="49">
        <f t="shared" si="0"/>
        <v>0</v>
      </c>
      <c r="AA10" s="49">
        <f t="shared" si="0"/>
        <v>0</v>
      </c>
      <c r="AB10" s="50">
        <f t="shared" si="0"/>
        <v>0.47800000000000004</v>
      </c>
      <c r="AC10" s="50">
        <f t="shared" si="0"/>
        <v>4.2765999999999993</v>
      </c>
      <c r="AD10" s="62">
        <f t="shared" si="0"/>
        <v>5944473.9999999991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 t="shared" ref="D11:AD11" si="1">SUM(D12:D15)</f>
        <v>19.260000000000002</v>
      </c>
      <c r="E11" s="61">
        <f t="shared" si="1"/>
        <v>0.89640000000000009</v>
      </c>
      <c r="F11" s="53">
        <f t="shared" si="1"/>
        <v>0.7</v>
      </c>
      <c r="G11" s="61">
        <f t="shared" si="1"/>
        <v>3.3925000000000001</v>
      </c>
      <c r="H11" s="53">
        <f t="shared" si="1"/>
        <v>0</v>
      </c>
      <c r="I11" s="61">
        <f t="shared" si="1"/>
        <v>3.7944999999999998</v>
      </c>
      <c r="J11" s="61">
        <f t="shared" si="1"/>
        <v>28.043400000000002</v>
      </c>
      <c r="K11" s="121">
        <f t="shared" si="1"/>
        <v>38980326</v>
      </c>
      <c r="L11" s="53">
        <f t="shared" si="1"/>
        <v>0</v>
      </c>
      <c r="M11" s="53">
        <f t="shared" si="1"/>
        <v>19.260000000000002</v>
      </c>
      <c r="N11" s="61">
        <f t="shared" si="1"/>
        <v>1.0458000000000001</v>
      </c>
      <c r="O11" s="53">
        <f t="shared" si="1"/>
        <v>0.7</v>
      </c>
      <c r="P11" s="61">
        <f t="shared" si="1"/>
        <v>3.4655</v>
      </c>
      <c r="Q11" s="53">
        <f t="shared" si="1"/>
        <v>0</v>
      </c>
      <c r="R11" s="61">
        <f t="shared" si="1"/>
        <v>3.8194000000000004</v>
      </c>
      <c r="S11" s="61">
        <f t="shared" si="1"/>
        <v>28.290699999999998</v>
      </c>
      <c r="T11" s="121">
        <f t="shared" si="1"/>
        <v>39324073</v>
      </c>
      <c r="U11" s="53">
        <f t="shared" si="1"/>
        <v>0</v>
      </c>
      <c r="V11" s="53">
        <f t="shared" si="1"/>
        <v>0</v>
      </c>
      <c r="W11" s="61">
        <f t="shared" si="1"/>
        <v>0.14939999999999998</v>
      </c>
      <c r="X11" s="53">
        <f t="shared" si="1"/>
        <v>0</v>
      </c>
      <c r="Y11" s="61">
        <f t="shared" si="1"/>
        <v>7.3000000000000287E-2</v>
      </c>
      <c r="Z11" s="53">
        <f t="shared" si="1"/>
        <v>0</v>
      </c>
      <c r="AA11" s="53">
        <f t="shared" si="1"/>
        <v>0</v>
      </c>
      <c r="AB11" s="61">
        <f t="shared" si="1"/>
        <v>2.4900000000000144E-2</v>
      </c>
      <c r="AC11" s="61">
        <f t="shared" si="1"/>
        <v>0.24730000000000041</v>
      </c>
      <c r="AD11" s="121">
        <f t="shared" si="1"/>
        <v>343747.00000000058</v>
      </c>
      <c r="AE11" s="51"/>
    </row>
    <row r="12" spans="1:31" ht="39.75" customHeight="1" x14ac:dyDescent="0.25">
      <c r="A12" s="96">
        <v>1</v>
      </c>
      <c r="B12" s="97" t="s">
        <v>161</v>
      </c>
      <c r="C12" s="96"/>
      <c r="D12" s="98">
        <v>4.9800000000000004</v>
      </c>
      <c r="E12" s="99">
        <f>ROUND(D12*7/100,4)</f>
        <v>0.34860000000000002</v>
      </c>
      <c r="F12" s="98">
        <v>0.35</v>
      </c>
      <c r="G12" s="99"/>
      <c r="H12" s="98"/>
      <c r="I12" s="99"/>
      <c r="J12" s="99">
        <f>ROUND(SUM(D12:I12),4)</f>
        <v>5.6786000000000003</v>
      </c>
      <c r="K12" s="100">
        <f>ROUND(J12*$B$6,4)</f>
        <v>7893254</v>
      </c>
      <c r="L12" s="98"/>
      <c r="M12" s="98">
        <v>4.9800000000000004</v>
      </c>
      <c r="N12" s="99">
        <f>ROUND(M12*8/100,4)</f>
        <v>0.39839999999999998</v>
      </c>
      <c r="O12" s="98">
        <v>0.35</v>
      </c>
      <c r="P12" s="99"/>
      <c r="Q12" s="98"/>
      <c r="R12" s="99"/>
      <c r="S12" s="99">
        <f>ROUND(SUM(M12:R12),4)</f>
        <v>5.7283999999999997</v>
      </c>
      <c r="T12" s="100">
        <f>ROUND(S12*$B$6,0)</f>
        <v>7962476</v>
      </c>
      <c r="U12" s="141" t="s">
        <v>80</v>
      </c>
      <c r="V12" s="98"/>
      <c r="W12" s="99">
        <f>N12-E12</f>
        <v>4.9799999999999955E-2</v>
      </c>
      <c r="X12" s="98">
        <f>O12-F12</f>
        <v>0</v>
      </c>
      <c r="Y12" s="99">
        <f>P12-G12</f>
        <v>0</v>
      </c>
      <c r="Z12" s="98"/>
      <c r="AA12" s="98"/>
      <c r="AB12" s="99"/>
      <c r="AC12" s="99">
        <f>SUM(V12:AB12)</f>
        <v>4.9799999999999955E-2</v>
      </c>
      <c r="AD12" s="100">
        <f>AC12*$B$6</f>
        <v>69221.999999999942</v>
      </c>
      <c r="AE12" s="84" t="s">
        <v>162</v>
      </c>
    </row>
    <row r="13" spans="1:31" ht="39.75" customHeight="1" x14ac:dyDescent="0.25">
      <c r="A13" s="96">
        <v>2</v>
      </c>
      <c r="B13" s="97" t="s">
        <v>142</v>
      </c>
      <c r="C13" s="147"/>
      <c r="D13" s="200">
        <v>4.9800000000000004</v>
      </c>
      <c r="E13" s="99">
        <f t="shared" ref="E13" si="2">ROUND(D13*5/100,4)</f>
        <v>0.249</v>
      </c>
      <c r="F13" s="200"/>
      <c r="G13" s="99">
        <f>ROUND((D13+E13+F13)*25/100,4)</f>
        <v>1.3072999999999999</v>
      </c>
      <c r="H13" s="200"/>
      <c r="I13" s="99">
        <f t="shared" ref="I13:I15" si="3">ROUND((D13+E13+F13)*25/100,4)</f>
        <v>1.3072999999999999</v>
      </c>
      <c r="J13" s="99">
        <f t="shared" ref="J13:J15" si="4">ROUND(SUM(D13:I13),4)</f>
        <v>7.8436000000000003</v>
      </c>
      <c r="K13" s="100">
        <f t="shared" ref="K13:K15" si="5">ROUND(J13*$B$6,4)</f>
        <v>10902604</v>
      </c>
      <c r="L13" s="200"/>
      <c r="M13" s="200">
        <v>4.9800000000000004</v>
      </c>
      <c r="N13" s="99">
        <f>ROUND(M13*6/100,4)</f>
        <v>0.29880000000000001</v>
      </c>
      <c r="O13" s="200"/>
      <c r="P13" s="99">
        <f>ROUND((M13+N13+O13)*25/100,4)</f>
        <v>1.3197000000000001</v>
      </c>
      <c r="Q13" s="200"/>
      <c r="R13" s="99">
        <f t="shared" ref="R13:R15" si="6">ROUND((M13+N13+O13)*25/100,4)</f>
        <v>1.3197000000000001</v>
      </c>
      <c r="S13" s="99">
        <f t="shared" ref="S13:S15" si="7">ROUND(SUM(M13:R13),4)</f>
        <v>7.9181999999999997</v>
      </c>
      <c r="T13" s="100">
        <f t="shared" ref="T13:T15" si="8">ROUND(S13*$B$6,0)</f>
        <v>11006298</v>
      </c>
      <c r="U13" s="203" t="s">
        <v>31</v>
      </c>
      <c r="V13" s="200">
        <f>M13-D13</f>
        <v>0</v>
      </c>
      <c r="W13" s="138">
        <f>N13-E13</f>
        <v>4.9800000000000011E-2</v>
      </c>
      <c r="X13" s="137"/>
      <c r="Y13" s="138">
        <f>P13-G13</f>
        <v>1.2400000000000189E-2</v>
      </c>
      <c r="Z13" s="137"/>
      <c r="AA13" s="137"/>
      <c r="AB13" s="138">
        <f>R13-I13</f>
        <v>1.2400000000000189E-2</v>
      </c>
      <c r="AC13" s="201">
        <f>SUM(V13:AB13)</f>
        <v>7.4600000000000388E-2</v>
      </c>
      <c r="AD13" s="202">
        <f>AC13*$B$6</f>
        <v>103694.00000000054</v>
      </c>
      <c r="AE13" s="204" t="s">
        <v>167</v>
      </c>
    </row>
    <row r="14" spans="1:31" ht="39.75" customHeight="1" x14ac:dyDescent="0.25">
      <c r="A14" s="96">
        <v>3</v>
      </c>
      <c r="B14" s="136" t="s">
        <v>144</v>
      </c>
      <c r="C14" s="102"/>
      <c r="D14" s="137">
        <v>4.9800000000000004</v>
      </c>
      <c r="E14" s="99">
        <f>ROUND(D14*6/100,4)</f>
        <v>0.29880000000000001</v>
      </c>
      <c r="F14" s="137"/>
      <c r="G14" s="99">
        <f>ROUND((D14+E14+F14)*28/100,4)</f>
        <v>1.4781</v>
      </c>
      <c r="H14" s="137"/>
      <c r="I14" s="99">
        <f t="shared" si="3"/>
        <v>1.3197000000000001</v>
      </c>
      <c r="J14" s="99">
        <f t="shared" si="4"/>
        <v>8.0765999999999991</v>
      </c>
      <c r="K14" s="100">
        <f t="shared" si="5"/>
        <v>11226474</v>
      </c>
      <c r="L14" s="137"/>
      <c r="M14" s="137">
        <v>4.9800000000000004</v>
      </c>
      <c r="N14" s="99">
        <f>ROUND(M14*7/100,4)</f>
        <v>0.34860000000000002</v>
      </c>
      <c r="O14" s="137"/>
      <c r="P14" s="99">
        <f>ROUND((M14+N14+O14)*28/100,4)</f>
        <v>1.492</v>
      </c>
      <c r="Q14" s="137"/>
      <c r="R14" s="99">
        <f t="shared" si="6"/>
        <v>1.3322000000000001</v>
      </c>
      <c r="S14" s="99">
        <f t="shared" si="7"/>
        <v>8.1527999999999992</v>
      </c>
      <c r="T14" s="100">
        <f t="shared" si="8"/>
        <v>11332392</v>
      </c>
      <c r="U14" s="191" t="s">
        <v>31</v>
      </c>
      <c r="V14" s="137"/>
      <c r="W14" s="201">
        <f>N14-E14</f>
        <v>4.9800000000000011E-2</v>
      </c>
      <c r="X14" s="98"/>
      <c r="Y14" s="201">
        <f>P14-G14</f>
        <v>1.3900000000000023E-2</v>
      </c>
      <c r="Z14" s="98"/>
      <c r="AA14" s="98"/>
      <c r="AB14" s="201">
        <f>R14-I14</f>
        <v>1.2499999999999956E-2</v>
      </c>
      <c r="AC14" s="138">
        <f t="shared" ref="AC14:AC15" si="9">SUM(V14:AB14)</f>
        <v>7.619999999999999E-2</v>
      </c>
      <c r="AD14" s="139">
        <f t="shared" ref="AD14:AD15" si="10">AC14*$B$6</f>
        <v>105917.99999999999</v>
      </c>
      <c r="AE14" s="140" t="s">
        <v>169</v>
      </c>
    </row>
    <row r="15" spans="1:31" ht="39.75" customHeight="1" x14ac:dyDescent="0.25">
      <c r="A15" s="96">
        <v>4</v>
      </c>
      <c r="B15" s="199" t="s">
        <v>178</v>
      </c>
      <c r="C15" s="102"/>
      <c r="D15" s="137">
        <v>4.32</v>
      </c>
      <c r="E15" s="99"/>
      <c r="F15" s="137">
        <v>0.35</v>
      </c>
      <c r="G15" s="99">
        <f>ROUND((D15+E15+F15)*13/100,4)</f>
        <v>0.60709999999999997</v>
      </c>
      <c r="H15" s="137"/>
      <c r="I15" s="99">
        <f t="shared" si="3"/>
        <v>1.1675</v>
      </c>
      <c r="J15" s="99">
        <f t="shared" si="4"/>
        <v>6.4446000000000003</v>
      </c>
      <c r="K15" s="100">
        <f t="shared" si="5"/>
        <v>8957994</v>
      </c>
      <c r="L15" s="137"/>
      <c r="M15" s="137">
        <v>4.32</v>
      </c>
      <c r="N15" s="99"/>
      <c r="O15" s="137">
        <v>0.35</v>
      </c>
      <c r="P15" s="99">
        <f>ROUND((M15+N15+O15)*14/100,4)</f>
        <v>0.65380000000000005</v>
      </c>
      <c r="Q15" s="137"/>
      <c r="R15" s="99">
        <f t="shared" si="6"/>
        <v>1.1675</v>
      </c>
      <c r="S15" s="99">
        <f t="shared" si="7"/>
        <v>6.4912999999999998</v>
      </c>
      <c r="T15" s="100">
        <f t="shared" si="8"/>
        <v>9022907</v>
      </c>
      <c r="U15" s="191" t="s">
        <v>31</v>
      </c>
      <c r="V15" s="137"/>
      <c r="W15" s="138"/>
      <c r="X15" s="137"/>
      <c r="Y15" s="138">
        <f t="shared" ref="Y15" si="11">P15-G15</f>
        <v>4.6700000000000075E-2</v>
      </c>
      <c r="Z15" s="137"/>
      <c r="AA15" s="137"/>
      <c r="AB15" s="137"/>
      <c r="AC15" s="138">
        <f t="shared" si="9"/>
        <v>4.6700000000000075E-2</v>
      </c>
      <c r="AD15" s="139">
        <f t="shared" si="10"/>
        <v>64913.000000000102</v>
      </c>
      <c r="AE15" s="140" t="s">
        <v>179</v>
      </c>
    </row>
    <row r="16" spans="1:31" ht="59.25" customHeight="1" x14ac:dyDescent="0.25">
      <c r="A16" s="102"/>
      <c r="B16" s="92" t="s">
        <v>33</v>
      </c>
      <c r="C16" s="69"/>
      <c r="D16" s="106">
        <f t="shared" ref="D16:AD16" si="12">SUM(D17:D31)</f>
        <v>41.906999999999996</v>
      </c>
      <c r="E16" s="106">
        <f t="shared" si="12"/>
        <v>0</v>
      </c>
      <c r="F16" s="106">
        <f t="shared" si="12"/>
        <v>0.35</v>
      </c>
      <c r="G16" s="71">
        <f t="shared" si="12"/>
        <v>1.2871000000000001</v>
      </c>
      <c r="H16" s="106">
        <f t="shared" si="12"/>
        <v>0</v>
      </c>
      <c r="I16" s="71">
        <f t="shared" si="12"/>
        <v>6.3018999999999998</v>
      </c>
      <c r="J16" s="71">
        <f t="shared" si="12"/>
        <v>49.846000000000004</v>
      </c>
      <c r="K16" s="70">
        <f t="shared" si="12"/>
        <v>69285940</v>
      </c>
      <c r="L16" s="106">
        <f t="shared" si="12"/>
        <v>0</v>
      </c>
      <c r="M16" s="106">
        <f t="shared" si="12"/>
        <v>44.980000000000004</v>
      </c>
      <c r="N16" s="71">
        <f t="shared" si="12"/>
        <v>0</v>
      </c>
      <c r="O16" s="106">
        <f t="shared" si="12"/>
        <v>0.7</v>
      </c>
      <c r="P16" s="71">
        <f t="shared" si="12"/>
        <v>1.4402999999999999</v>
      </c>
      <c r="Q16" s="106">
        <f t="shared" si="12"/>
        <v>0</v>
      </c>
      <c r="R16" s="71">
        <f t="shared" si="12"/>
        <v>6.754999999999999</v>
      </c>
      <c r="S16" s="71">
        <f t="shared" si="12"/>
        <v>53.875299999999989</v>
      </c>
      <c r="T16" s="70">
        <f t="shared" si="12"/>
        <v>74886667</v>
      </c>
      <c r="U16" s="106">
        <f t="shared" si="12"/>
        <v>0</v>
      </c>
      <c r="V16" s="71">
        <f t="shared" si="12"/>
        <v>3.0729999999999986</v>
      </c>
      <c r="W16" s="71">
        <f t="shared" si="12"/>
        <v>0</v>
      </c>
      <c r="X16" s="106">
        <f t="shared" si="12"/>
        <v>0.35</v>
      </c>
      <c r="Y16" s="71">
        <f t="shared" si="12"/>
        <v>0.15320000000000003</v>
      </c>
      <c r="Z16" s="106">
        <f t="shared" si="12"/>
        <v>0</v>
      </c>
      <c r="AA16" s="106">
        <f t="shared" si="12"/>
        <v>0</v>
      </c>
      <c r="AB16" s="71">
        <f t="shared" si="12"/>
        <v>0.45309999999999989</v>
      </c>
      <c r="AC16" s="71">
        <f t="shared" si="12"/>
        <v>4.0292999999999992</v>
      </c>
      <c r="AD16" s="70">
        <f t="shared" si="12"/>
        <v>5600726.9999999981</v>
      </c>
      <c r="AE16" s="106">
        <v>0</v>
      </c>
    </row>
    <row r="17" spans="1:31" ht="35.25" customHeight="1" x14ac:dyDescent="0.25">
      <c r="A17" s="96">
        <v>1</v>
      </c>
      <c r="B17" s="77" t="s">
        <v>160</v>
      </c>
      <c r="C17" s="79"/>
      <c r="D17" s="35">
        <v>3</v>
      </c>
      <c r="E17" s="80"/>
      <c r="F17" s="80">
        <v>0</v>
      </c>
      <c r="G17" s="80"/>
      <c r="H17" s="81"/>
      <c r="I17" s="80">
        <f>ROUND((D17+E17+F17)*25/100,4)</f>
        <v>0.75</v>
      </c>
      <c r="J17" s="80">
        <f>ROUND(SUM(D17:I17),4)</f>
        <v>3.75</v>
      </c>
      <c r="K17" s="76">
        <f>ROUND(J17*$B$6,0)</f>
        <v>5212500</v>
      </c>
      <c r="L17" s="82"/>
      <c r="M17" s="88">
        <v>3.33</v>
      </c>
      <c r="N17" s="80"/>
      <c r="O17" s="80">
        <v>0</v>
      </c>
      <c r="P17" s="80"/>
      <c r="Q17" s="81"/>
      <c r="R17" s="80">
        <f>ROUND((M17+N17+O17)*25/100,4)</f>
        <v>0.83250000000000002</v>
      </c>
      <c r="S17" s="64">
        <f>ROUND(SUM(M17:R17),4)</f>
        <v>4.1624999999999996</v>
      </c>
      <c r="T17" s="83">
        <f>ROUND(S17*$B$6,0)</f>
        <v>5785875</v>
      </c>
      <c r="U17" s="60" t="s">
        <v>34</v>
      </c>
      <c r="V17" s="85">
        <f t="shared" ref="V17:V24" si="13">M17-D17</f>
        <v>0.33000000000000007</v>
      </c>
      <c r="W17" s="85"/>
      <c r="X17" s="85"/>
      <c r="Y17" s="85">
        <f>P17-G17</f>
        <v>0</v>
      </c>
      <c r="Z17" s="85"/>
      <c r="AA17" s="85"/>
      <c r="AB17" s="85">
        <f>R17-I17</f>
        <v>8.2500000000000018E-2</v>
      </c>
      <c r="AC17" s="85">
        <f>SUM(V17:AB17)</f>
        <v>0.41250000000000009</v>
      </c>
      <c r="AD17" s="86">
        <f>AC17*$B$6</f>
        <v>573375.00000000012</v>
      </c>
      <c r="AE17" s="84" t="s">
        <v>165</v>
      </c>
    </row>
    <row r="18" spans="1:31" ht="35.25" customHeight="1" x14ac:dyDescent="0.25">
      <c r="A18" s="96">
        <v>2</v>
      </c>
      <c r="B18" s="77" t="s">
        <v>163</v>
      </c>
      <c r="C18" s="79"/>
      <c r="D18" s="35">
        <v>2.66</v>
      </c>
      <c r="E18" s="80"/>
      <c r="F18" s="80"/>
      <c r="G18" s="80"/>
      <c r="H18" s="81"/>
      <c r="I18" s="80"/>
      <c r="J18" s="80">
        <f t="shared" ref="J18:J31" si="14">ROUND(SUM(D18:I18),4)</f>
        <v>2.66</v>
      </c>
      <c r="K18" s="76">
        <f t="shared" ref="K18:K31" si="15">ROUND(J18*$B$6,0)</f>
        <v>3697400</v>
      </c>
      <c r="L18" s="82"/>
      <c r="M18" s="88">
        <v>2.86</v>
      </c>
      <c r="N18" s="80"/>
      <c r="O18" s="80"/>
      <c r="P18" s="80"/>
      <c r="Q18" s="81"/>
      <c r="R18" s="80"/>
      <c r="S18" s="64">
        <f t="shared" ref="S18:S31" si="16">ROUND(SUM(M18:R18),4)</f>
        <v>2.86</v>
      </c>
      <c r="T18" s="83">
        <f t="shared" ref="T18:T31" si="17">ROUND(S18*$B$6,0)</f>
        <v>3975400</v>
      </c>
      <c r="U18" s="60" t="s">
        <v>114</v>
      </c>
      <c r="V18" s="85">
        <f t="shared" si="13"/>
        <v>0.19999999999999973</v>
      </c>
      <c r="W18" s="85"/>
      <c r="X18" s="85"/>
      <c r="Y18" s="85">
        <f t="shared" ref="Y18:Y21" si="18">P18-G18</f>
        <v>0</v>
      </c>
      <c r="Z18" s="85"/>
      <c r="AA18" s="85"/>
      <c r="AB18" s="85"/>
      <c r="AC18" s="85">
        <f t="shared" ref="AC18:AC31" si="19">SUM(V18:AB18)</f>
        <v>0.19999999999999973</v>
      </c>
      <c r="AD18" s="86">
        <f t="shared" ref="AD18:AD31" si="20">AC18*$B$6</f>
        <v>277999.99999999965</v>
      </c>
      <c r="AE18" s="84" t="s">
        <v>164</v>
      </c>
    </row>
    <row r="19" spans="1:31" ht="35.25" customHeight="1" x14ac:dyDescent="0.25">
      <c r="A19" s="96">
        <v>3</v>
      </c>
      <c r="B19" s="77" t="s">
        <v>166</v>
      </c>
      <c r="C19" s="79"/>
      <c r="D19" s="35">
        <v>3.06</v>
      </c>
      <c r="E19" s="80"/>
      <c r="F19" s="80"/>
      <c r="G19" s="80"/>
      <c r="H19" s="81"/>
      <c r="I19" s="80"/>
      <c r="J19" s="80">
        <f t="shared" si="14"/>
        <v>3.06</v>
      </c>
      <c r="K19" s="76">
        <f t="shared" si="15"/>
        <v>4253400</v>
      </c>
      <c r="L19" s="82"/>
      <c r="M19" s="88">
        <v>3.26</v>
      </c>
      <c r="N19" s="80"/>
      <c r="O19" s="80"/>
      <c r="P19" s="80"/>
      <c r="Q19" s="81"/>
      <c r="R19" s="80"/>
      <c r="S19" s="64">
        <f t="shared" si="16"/>
        <v>3.26</v>
      </c>
      <c r="T19" s="83">
        <f t="shared" si="17"/>
        <v>4531400</v>
      </c>
      <c r="U19" s="60" t="s">
        <v>82</v>
      </c>
      <c r="V19" s="85">
        <f t="shared" si="13"/>
        <v>0.19999999999999973</v>
      </c>
      <c r="W19" s="85"/>
      <c r="X19" s="85"/>
      <c r="Y19" s="85">
        <f t="shared" si="18"/>
        <v>0</v>
      </c>
      <c r="Z19" s="85"/>
      <c r="AA19" s="85"/>
      <c r="AB19" s="85"/>
      <c r="AC19" s="85">
        <f t="shared" si="19"/>
        <v>0.19999999999999973</v>
      </c>
      <c r="AD19" s="86">
        <f t="shared" si="20"/>
        <v>277999.99999999965</v>
      </c>
      <c r="AE19" s="84" t="s">
        <v>164</v>
      </c>
    </row>
    <row r="20" spans="1:31" ht="35.25" customHeight="1" x14ac:dyDescent="0.25">
      <c r="A20" s="96">
        <v>4</v>
      </c>
      <c r="B20" s="77" t="s">
        <v>168</v>
      </c>
      <c r="C20" s="79"/>
      <c r="D20" s="35">
        <v>3</v>
      </c>
      <c r="E20" s="80"/>
      <c r="F20" s="80"/>
      <c r="G20" s="80"/>
      <c r="H20" s="81"/>
      <c r="I20" s="80"/>
      <c r="J20" s="80">
        <f t="shared" si="14"/>
        <v>3</v>
      </c>
      <c r="K20" s="76">
        <f t="shared" si="15"/>
        <v>4170000</v>
      </c>
      <c r="L20" s="82"/>
      <c r="M20" s="88">
        <v>3.33</v>
      </c>
      <c r="N20" s="80"/>
      <c r="O20" s="80"/>
      <c r="P20" s="80"/>
      <c r="Q20" s="81"/>
      <c r="R20" s="80"/>
      <c r="S20" s="64">
        <f t="shared" si="16"/>
        <v>3.33</v>
      </c>
      <c r="T20" s="83">
        <f t="shared" si="17"/>
        <v>4628700</v>
      </c>
      <c r="U20" s="60" t="s">
        <v>59</v>
      </c>
      <c r="V20" s="85">
        <f t="shared" si="13"/>
        <v>0.33000000000000007</v>
      </c>
      <c r="W20" s="85"/>
      <c r="X20" s="85"/>
      <c r="Y20" s="85">
        <f t="shared" si="18"/>
        <v>0</v>
      </c>
      <c r="Z20" s="85"/>
      <c r="AA20" s="85"/>
      <c r="AB20" s="85"/>
      <c r="AC20" s="85">
        <f t="shared" si="19"/>
        <v>0.33000000000000007</v>
      </c>
      <c r="AD20" s="86">
        <f t="shared" si="20"/>
        <v>458700.00000000012</v>
      </c>
      <c r="AE20" s="84" t="s">
        <v>164</v>
      </c>
    </row>
    <row r="21" spans="1:31" ht="35.25" customHeight="1" x14ac:dyDescent="0.25">
      <c r="A21" s="96">
        <v>5</v>
      </c>
      <c r="B21" s="77" t="s">
        <v>170</v>
      </c>
      <c r="C21" s="79"/>
      <c r="D21" s="148">
        <v>2.67</v>
      </c>
      <c r="E21" s="80"/>
      <c r="F21" s="80"/>
      <c r="G21" s="80"/>
      <c r="H21" s="81"/>
      <c r="I21" s="80"/>
      <c r="J21" s="80">
        <f t="shared" si="14"/>
        <v>2.67</v>
      </c>
      <c r="K21" s="76">
        <f t="shared" si="15"/>
        <v>3711300</v>
      </c>
      <c r="L21" s="82"/>
      <c r="M21" s="88">
        <v>3</v>
      </c>
      <c r="N21" s="80"/>
      <c r="O21" s="80"/>
      <c r="P21" s="80"/>
      <c r="Q21" s="81"/>
      <c r="R21" s="80"/>
      <c r="S21" s="64">
        <f t="shared" si="16"/>
        <v>3</v>
      </c>
      <c r="T21" s="83">
        <f t="shared" si="17"/>
        <v>4170000</v>
      </c>
      <c r="U21" s="60" t="s">
        <v>80</v>
      </c>
      <c r="V21" s="85">
        <f t="shared" si="13"/>
        <v>0.33000000000000007</v>
      </c>
      <c r="W21" s="85"/>
      <c r="X21" s="85"/>
      <c r="Y21" s="85">
        <f t="shared" si="18"/>
        <v>0</v>
      </c>
      <c r="Z21" s="85"/>
      <c r="AA21" s="85"/>
      <c r="AB21" s="85"/>
      <c r="AC21" s="85">
        <f t="shared" si="19"/>
        <v>0.33000000000000007</v>
      </c>
      <c r="AD21" s="86">
        <f t="shared" si="20"/>
        <v>458700.00000000012</v>
      </c>
      <c r="AE21" s="84" t="s">
        <v>164</v>
      </c>
    </row>
    <row r="22" spans="1:31" ht="35.25" customHeight="1" x14ac:dyDescent="0.25">
      <c r="A22" s="96">
        <v>6</v>
      </c>
      <c r="B22" s="77" t="s">
        <v>126</v>
      </c>
      <c r="C22" s="79"/>
      <c r="D22" s="148">
        <v>3</v>
      </c>
      <c r="E22" s="80"/>
      <c r="F22" s="80"/>
      <c r="G22" s="80">
        <f>ROUND((D22+E22+F22)*8/100,4)</f>
        <v>0.24</v>
      </c>
      <c r="H22" s="81"/>
      <c r="I22" s="80">
        <f t="shared" ref="I22:I31" si="21">ROUND((D22+E22+F22)*25/100,4)</f>
        <v>0.75</v>
      </c>
      <c r="J22" s="80">
        <f t="shared" si="14"/>
        <v>3.99</v>
      </c>
      <c r="K22" s="76">
        <f t="shared" si="15"/>
        <v>5546100</v>
      </c>
      <c r="L22" s="82"/>
      <c r="M22" s="88">
        <v>3.33</v>
      </c>
      <c r="N22" s="80"/>
      <c r="O22" s="80"/>
      <c r="P22" s="80">
        <f>ROUND((M22+N22+O22)*8/100,4)</f>
        <v>0.26640000000000003</v>
      </c>
      <c r="Q22" s="81"/>
      <c r="R22" s="80">
        <f t="shared" ref="R22:R31" si="22">ROUND((M22+N22+O22)*25/100,4)</f>
        <v>0.83250000000000002</v>
      </c>
      <c r="S22" s="64">
        <f t="shared" si="16"/>
        <v>4.4288999999999996</v>
      </c>
      <c r="T22" s="83">
        <f t="shared" si="17"/>
        <v>6156171</v>
      </c>
      <c r="U22" s="60" t="s">
        <v>34</v>
      </c>
      <c r="V22" s="85">
        <f t="shared" si="13"/>
        <v>0.33000000000000007</v>
      </c>
      <c r="W22" s="85"/>
      <c r="X22" s="85"/>
      <c r="Y22" s="85">
        <f>P22-G22</f>
        <v>2.6400000000000035E-2</v>
      </c>
      <c r="Z22" s="85"/>
      <c r="AA22" s="85"/>
      <c r="AB22" s="85">
        <f>R22-I22</f>
        <v>8.2500000000000018E-2</v>
      </c>
      <c r="AC22" s="85">
        <f t="shared" si="19"/>
        <v>0.43890000000000012</v>
      </c>
      <c r="AD22" s="86">
        <f t="shared" si="20"/>
        <v>610071.00000000012</v>
      </c>
      <c r="AE22" s="84" t="s">
        <v>164</v>
      </c>
    </row>
    <row r="23" spans="1:31" ht="35.25" customHeight="1" x14ac:dyDescent="0.25">
      <c r="A23" s="96">
        <v>7</v>
      </c>
      <c r="B23" s="77" t="s">
        <v>171</v>
      </c>
      <c r="C23" s="79"/>
      <c r="D23" s="148">
        <v>2.66</v>
      </c>
      <c r="E23" s="80"/>
      <c r="F23" s="80"/>
      <c r="G23" s="80"/>
      <c r="H23" s="81"/>
      <c r="I23" s="80"/>
      <c r="J23" s="80">
        <f t="shared" si="14"/>
        <v>2.66</v>
      </c>
      <c r="K23" s="76">
        <f t="shared" si="15"/>
        <v>3697400</v>
      </c>
      <c r="L23" s="82"/>
      <c r="M23" s="88">
        <v>2.86</v>
      </c>
      <c r="N23" s="80"/>
      <c r="O23" s="80"/>
      <c r="P23" s="80"/>
      <c r="Q23" s="81"/>
      <c r="R23" s="80"/>
      <c r="S23" s="64">
        <f t="shared" si="16"/>
        <v>2.86</v>
      </c>
      <c r="T23" s="83">
        <f t="shared" si="17"/>
        <v>3975400</v>
      </c>
      <c r="U23" s="60" t="s">
        <v>114</v>
      </c>
      <c r="V23" s="85">
        <f t="shared" si="13"/>
        <v>0.19999999999999973</v>
      </c>
      <c r="W23" s="85"/>
      <c r="X23" s="85"/>
      <c r="Y23" s="85"/>
      <c r="Z23" s="85"/>
      <c r="AA23" s="85"/>
      <c r="AB23" s="85"/>
      <c r="AC23" s="85">
        <f t="shared" si="19"/>
        <v>0.19999999999999973</v>
      </c>
      <c r="AD23" s="86">
        <f t="shared" si="20"/>
        <v>277999.99999999965</v>
      </c>
      <c r="AE23" s="84" t="s">
        <v>164</v>
      </c>
    </row>
    <row r="24" spans="1:31" ht="39" customHeight="1" x14ac:dyDescent="0.25">
      <c r="A24" s="96">
        <v>8</v>
      </c>
      <c r="B24" s="77" t="s">
        <v>172</v>
      </c>
      <c r="C24" s="79"/>
      <c r="D24" s="148">
        <v>3</v>
      </c>
      <c r="E24" s="80"/>
      <c r="F24" s="80"/>
      <c r="G24" s="80"/>
      <c r="H24" s="81"/>
      <c r="I24" s="80"/>
      <c r="J24" s="80">
        <f t="shared" si="14"/>
        <v>3</v>
      </c>
      <c r="K24" s="76">
        <f t="shared" si="15"/>
        <v>4170000</v>
      </c>
      <c r="L24" s="82"/>
      <c r="M24" s="88">
        <v>3</v>
      </c>
      <c r="N24" s="80"/>
      <c r="O24" s="80">
        <v>0.35</v>
      </c>
      <c r="P24" s="80"/>
      <c r="Q24" s="81"/>
      <c r="R24" s="80"/>
      <c r="S24" s="64">
        <f t="shared" si="16"/>
        <v>3.35</v>
      </c>
      <c r="T24" s="83">
        <f t="shared" si="17"/>
        <v>4656500</v>
      </c>
      <c r="U24" s="60" t="s">
        <v>34</v>
      </c>
      <c r="V24" s="85">
        <f t="shared" si="13"/>
        <v>0</v>
      </c>
      <c r="W24" s="85"/>
      <c r="X24" s="85">
        <f>O24</f>
        <v>0.35</v>
      </c>
      <c r="Y24" s="85"/>
      <c r="Z24" s="85"/>
      <c r="AA24" s="85"/>
      <c r="AB24" s="85"/>
      <c r="AC24" s="85">
        <f t="shared" si="19"/>
        <v>0.35</v>
      </c>
      <c r="AD24" s="86">
        <f t="shared" si="20"/>
        <v>486499.99999999994</v>
      </c>
      <c r="AE24" s="84" t="s">
        <v>173</v>
      </c>
    </row>
    <row r="25" spans="1:31" ht="39" customHeight="1" x14ac:dyDescent="0.25">
      <c r="A25" s="96">
        <v>9</v>
      </c>
      <c r="B25" s="77" t="s">
        <v>174</v>
      </c>
      <c r="C25" s="79"/>
      <c r="D25" s="148">
        <v>3</v>
      </c>
      <c r="E25" s="80"/>
      <c r="F25" s="80">
        <v>0.35</v>
      </c>
      <c r="G25" s="80">
        <f>ROUND((D25+E25+F25)*5/100,4)</f>
        <v>0.16750000000000001</v>
      </c>
      <c r="H25" s="81"/>
      <c r="I25" s="80">
        <f t="shared" si="21"/>
        <v>0.83750000000000002</v>
      </c>
      <c r="J25" s="80">
        <f t="shared" si="14"/>
        <v>4.3550000000000004</v>
      </c>
      <c r="K25" s="76">
        <f t="shared" si="15"/>
        <v>6053450</v>
      </c>
      <c r="L25" s="82"/>
      <c r="M25" s="88">
        <v>3</v>
      </c>
      <c r="N25" s="80"/>
      <c r="O25" s="80">
        <v>0.35</v>
      </c>
      <c r="P25" s="80">
        <f>ROUND((M25+N25+O25)*6/100,4)</f>
        <v>0.20100000000000001</v>
      </c>
      <c r="Q25" s="81"/>
      <c r="R25" s="80">
        <f t="shared" si="22"/>
        <v>0.83750000000000002</v>
      </c>
      <c r="S25" s="64">
        <f t="shared" si="16"/>
        <v>4.3884999999999996</v>
      </c>
      <c r="T25" s="83">
        <f t="shared" si="17"/>
        <v>6100015</v>
      </c>
      <c r="U25" s="60" t="s">
        <v>34</v>
      </c>
      <c r="V25" s="85"/>
      <c r="W25" s="85"/>
      <c r="X25" s="85"/>
      <c r="Y25" s="85">
        <f>P25-G25</f>
        <v>3.3500000000000002E-2</v>
      </c>
      <c r="Z25" s="85"/>
      <c r="AA25" s="85"/>
      <c r="AB25" s="85"/>
      <c r="AC25" s="85">
        <f t="shared" si="19"/>
        <v>3.3500000000000002E-2</v>
      </c>
      <c r="AD25" s="86">
        <f t="shared" si="20"/>
        <v>46565</v>
      </c>
      <c r="AE25" s="84" t="s">
        <v>175</v>
      </c>
    </row>
    <row r="26" spans="1:31" ht="39" customHeight="1" x14ac:dyDescent="0.25">
      <c r="A26" s="96">
        <v>10</v>
      </c>
      <c r="B26" s="77" t="s">
        <v>176</v>
      </c>
      <c r="C26" s="79"/>
      <c r="D26" s="148">
        <v>2.67</v>
      </c>
      <c r="E26" s="80"/>
      <c r="F26" s="80"/>
      <c r="G26" s="80">
        <f>ROUND((D26+E26+F26)*8/100,4)</f>
        <v>0.21360000000000001</v>
      </c>
      <c r="H26" s="81"/>
      <c r="I26" s="80">
        <f t="shared" si="21"/>
        <v>0.66749999999999998</v>
      </c>
      <c r="J26" s="80">
        <f t="shared" si="14"/>
        <v>3.5510999999999999</v>
      </c>
      <c r="K26" s="76">
        <f t="shared" si="15"/>
        <v>4936029</v>
      </c>
      <c r="L26" s="82"/>
      <c r="M26" s="88">
        <v>2.67</v>
      </c>
      <c r="N26" s="80"/>
      <c r="O26" s="80"/>
      <c r="P26" s="80">
        <f>ROUND((M26+N26+O26)*9/100,4)</f>
        <v>0.24030000000000001</v>
      </c>
      <c r="Q26" s="81"/>
      <c r="R26" s="80">
        <f t="shared" si="22"/>
        <v>0.66749999999999998</v>
      </c>
      <c r="S26" s="64">
        <f t="shared" si="16"/>
        <v>3.5777999999999999</v>
      </c>
      <c r="T26" s="83">
        <f t="shared" si="17"/>
        <v>4973142</v>
      </c>
      <c r="U26" s="60" t="s">
        <v>34</v>
      </c>
      <c r="V26" s="85"/>
      <c r="W26" s="85"/>
      <c r="X26" s="85"/>
      <c r="Y26" s="85">
        <f t="shared" ref="Y26:Y31" si="23">P26-G26</f>
        <v>2.6700000000000002E-2</v>
      </c>
      <c r="Z26" s="85"/>
      <c r="AA26" s="85"/>
      <c r="AB26" s="85"/>
      <c r="AC26" s="85">
        <f t="shared" si="19"/>
        <v>2.6700000000000002E-2</v>
      </c>
      <c r="AD26" s="86">
        <f t="shared" si="20"/>
        <v>37113</v>
      </c>
      <c r="AE26" s="84" t="s">
        <v>177</v>
      </c>
    </row>
    <row r="27" spans="1:31" ht="39" customHeight="1" x14ac:dyDescent="0.25">
      <c r="A27" s="96">
        <v>11</v>
      </c>
      <c r="B27" s="77" t="s">
        <v>188</v>
      </c>
      <c r="C27" s="79"/>
      <c r="D27" s="148">
        <v>1.9890000000000001</v>
      </c>
      <c r="E27" s="80"/>
      <c r="F27" s="80"/>
      <c r="G27" s="80"/>
      <c r="H27" s="81"/>
      <c r="I27" s="80">
        <f t="shared" si="21"/>
        <v>0.49730000000000002</v>
      </c>
      <c r="J27" s="80">
        <f t="shared" si="14"/>
        <v>2.4863</v>
      </c>
      <c r="K27" s="76">
        <f t="shared" si="15"/>
        <v>3455957</v>
      </c>
      <c r="L27" s="82"/>
      <c r="M27" s="88">
        <v>2.34</v>
      </c>
      <c r="N27" s="80"/>
      <c r="O27" s="80"/>
      <c r="P27" s="80"/>
      <c r="Q27" s="81"/>
      <c r="R27" s="80">
        <f t="shared" si="22"/>
        <v>0.58499999999999996</v>
      </c>
      <c r="S27" s="64">
        <f t="shared" si="16"/>
        <v>2.9249999999999998</v>
      </c>
      <c r="T27" s="83">
        <f t="shared" si="17"/>
        <v>4065750</v>
      </c>
      <c r="U27" s="60" t="s">
        <v>34</v>
      </c>
      <c r="V27" s="85">
        <f>M27-D27</f>
        <v>0.35099999999999976</v>
      </c>
      <c r="W27" s="85"/>
      <c r="X27" s="85"/>
      <c r="Y27" s="85"/>
      <c r="Z27" s="85"/>
      <c r="AA27" s="85"/>
      <c r="AB27" s="85">
        <f>R27-I27</f>
        <v>8.7699999999999945E-2</v>
      </c>
      <c r="AC27" s="85">
        <f t="shared" si="19"/>
        <v>0.4386999999999997</v>
      </c>
      <c r="AD27" s="86">
        <f t="shared" si="20"/>
        <v>609792.99999999953</v>
      </c>
      <c r="AE27" s="84" t="s">
        <v>189</v>
      </c>
    </row>
    <row r="28" spans="1:31" ht="39" customHeight="1" x14ac:dyDescent="0.25">
      <c r="A28" s="96">
        <v>12</v>
      </c>
      <c r="B28" s="77" t="s">
        <v>190</v>
      </c>
      <c r="C28" s="79"/>
      <c r="D28" s="148">
        <v>2.2690000000000001</v>
      </c>
      <c r="E28" s="80"/>
      <c r="F28" s="80"/>
      <c r="G28" s="80"/>
      <c r="H28" s="81"/>
      <c r="I28" s="80">
        <f t="shared" si="21"/>
        <v>0.56730000000000003</v>
      </c>
      <c r="J28" s="80">
        <f t="shared" si="14"/>
        <v>2.8363</v>
      </c>
      <c r="K28" s="76">
        <f t="shared" si="15"/>
        <v>3942457</v>
      </c>
      <c r="L28" s="82"/>
      <c r="M28" s="88">
        <v>2.67</v>
      </c>
      <c r="N28" s="80"/>
      <c r="O28" s="80"/>
      <c r="P28" s="80"/>
      <c r="Q28" s="81"/>
      <c r="R28" s="80">
        <f t="shared" si="22"/>
        <v>0.66749999999999998</v>
      </c>
      <c r="S28" s="64">
        <f t="shared" si="16"/>
        <v>3.3374999999999999</v>
      </c>
      <c r="T28" s="83">
        <f t="shared" si="17"/>
        <v>4639125</v>
      </c>
      <c r="U28" s="60" t="s">
        <v>34</v>
      </c>
      <c r="V28" s="85">
        <f>M28-D28</f>
        <v>0.4009999999999998</v>
      </c>
      <c r="W28" s="85"/>
      <c r="X28" s="85"/>
      <c r="Y28" s="85"/>
      <c r="Z28" s="85"/>
      <c r="AA28" s="85"/>
      <c r="AB28" s="85">
        <f>R28-I28</f>
        <v>0.10019999999999996</v>
      </c>
      <c r="AC28" s="85">
        <f t="shared" si="19"/>
        <v>0.50119999999999976</v>
      </c>
      <c r="AD28" s="86">
        <f t="shared" si="20"/>
        <v>696667.99999999965</v>
      </c>
      <c r="AE28" s="84" t="s">
        <v>189</v>
      </c>
    </row>
    <row r="29" spans="1:31" ht="39" customHeight="1" x14ac:dyDescent="0.25">
      <c r="A29" s="96">
        <v>13</v>
      </c>
      <c r="B29" s="77" t="s">
        <v>191</v>
      </c>
      <c r="C29" s="79"/>
      <c r="D29" s="148">
        <v>2.2690000000000001</v>
      </c>
      <c r="E29" s="80"/>
      <c r="F29" s="80"/>
      <c r="G29" s="80"/>
      <c r="H29" s="81"/>
      <c r="I29" s="80">
        <f t="shared" si="21"/>
        <v>0.56730000000000003</v>
      </c>
      <c r="J29" s="80">
        <f t="shared" si="14"/>
        <v>2.8363</v>
      </c>
      <c r="K29" s="76">
        <f t="shared" si="15"/>
        <v>3942457</v>
      </c>
      <c r="L29" s="82"/>
      <c r="M29" s="88">
        <v>2.67</v>
      </c>
      <c r="N29" s="80"/>
      <c r="O29" s="80"/>
      <c r="P29" s="80"/>
      <c r="Q29" s="81"/>
      <c r="R29" s="80">
        <f t="shared" si="22"/>
        <v>0.66749999999999998</v>
      </c>
      <c r="S29" s="64">
        <f t="shared" si="16"/>
        <v>3.3374999999999999</v>
      </c>
      <c r="T29" s="83">
        <f t="shared" si="17"/>
        <v>4639125</v>
      </c>
      <c r="U29" s="60" t="s">
        <v>34</v>
      </c>
      <c r="V29" s="85">
        <f>M29-D29</f>
        <v>0.4009999999999998</v>
      </c>
      <c r="W29" s="85"/>
      <c r="X29" s="85"/>
      <c r="Y29" s="85"/>
      <c r="Z29" s="85"/>
      <c r="AA29" s="85"/>
      <c r="AB29" s="85">
        <f>R29-I29</f>
        <v>0.10019999999999996</v>
      </c>
      <c r="AC29" s="85">
        <f t="shared" si="19"/>
        <v>0.50119999999999976</v>
      </c>
      <c r="AD29" s="86">
        <f t="shared" si="20"/>
        <v>696667.99999999965</v>
      </c>
      <c r="AE29" s="84" t="s">
        <v>189</v>
      </c>
    </row>
    <row r="30" spans="1:31" ht="39" customHeight="1" x14ac:dyDescent="0.25">
      <c r="A30" s="96">
        <v>14</v>
      </c>
      <c r="B30" s="77" t="s">
        <v>180</v>
      </c>
      <c r="C30" s="79"/>
      <c r="D30" s="148">
        <v>3.33</v>
      </c>
      <c r="E30" s="80"/>
      <c r="F30" s="80"/>
      <c r="G30" s="80">
        <f>ROUND((D30+E30+F30)*9/100,4)</f>
        <v>0.29970000000000002</v>
      </c>
      <c r="H30" s="81"/>
      <c r="I30" s="80">
        <f t="shared" si="21"/>
        <v>0.83250000000000002</v>
      </c>
      <c r="J30" s="80">
        <f t="shared" si="14"/>
        <v>4.4622000000000002</v>
      </c>
      <c r="K30" s="76">
        <f t="shared" si="15"/>
        <v>6202458</v>
      </c>
      <c r="L30" s="82"/>
      <c r="M30" s="88">
        <v>3.33</v>
      </c>
      <c r="N30" s="80"/>
      <c r="O30" s="80"/>
      <c r="P30" s="80">
        <f>ROUND((M30+N30+O30)*10/100,4)</f>
        <v>0.33300000000000002</v>
      </c>
      <c r="Q30" s="81"/>
      <c r="R30" s="80">
        <f t="shared" si="22"/>
        <v>0.83250000000000002</v>
      </c>
      <c r="S30" s="64">
        <f t="shared" si="16"/>
        <v>4.4954999999999998</v>
      </c>
      <c r="T30" s="83">
        <f t="shared" si="17"/>
        <v>6248745</v>
      </c>
      <c r="U30" s="60" t="s">
        <v>34</v>
      </c>
      <c r="V30" s="85"/>
      <c r="W30" s="85"/>
      <c r="X30" s="85"/>
      <c r="Y30" s="85">
        <f t="shared" si="23"/>
        <v>3.3299999999999996E-2</v>
      </c>
      <c r="Z30" s="85"/>
      <c r="AA30" s="85"/>
      <c r="AB30" s="85"/>
      <c r="AC30" s="85">
        <f t="shared" si="19"/>
        <v>3.3299999999999996E-2</v>
      </c>
      <c r="AD30" s="86">
        <f t="shared" si="20"/>
        <v>46286.999999999993</v>
      </c>
      <c r="AE30" s="84" t="s">
        <v>181</v>
      </c>
    </row>
    <row r="31" spans="1:31" ht="39" customHeight="1" x14ac:dyDescent="0.25">
      <c r="A31" s="96">
        <v>15</v>
      </c>
      <c r="B31" s="77" t="s">
        <v>182</v>
      </c>
      <c r="C31" s="79"/>
      <c r="D31" s="148">
        <v>3.33</v>
      </c>
      <c r="E31" s="80"/>
      <c r="F31" s="80"/>
      <c r="G31" s="80">
        <f>ROUND((D31+E31+F31)*11/100,4)</f>
        <v>0.36630000000000001</v>
      </c>
      <c r="H31" s="81"/>
      <c r="I31" s="80">
        <f t="shared" si="21"/>
        <v>0.83250000000000002</v>
      </c>
      <c r="J31" s="80">
        <f t="shared" si="14"/>
        <v>4.5288000000000004</v>
      </c>
      <c r="K31" s="76">
        <f t="shared" si="15"/>
        <v>6295032</v>
      </c>
      <c r="L31" s="82"/>
      <c r="M31" s="88">
        <v>3.33</v>
      </c>
      <c r="N31" s="80"/>
      <c r="O31" s="80"/>
      <c r="P31" s="80">
        <f>ROUND((M31+N31+O31)*12/100,4)</f>
        <v>0.39960000000000001</v>
      </c>
      <c r="Q31" s="81"/>
      <c r="R31" s="80">
        <f t="shared" si="22"/>
        <v>0.83250000000000002</v>
      </c>
      <c r="S31" s="64">
        <f t="shared" si="16"/>
        <v>4.5621</v>
      </c>
      <c r="T31" s="83">
        <f t="shared" si="17"/>
        <v>6341319</v>
      </c>
      <c r="U31" s="60" t="s">
        <v>34</v>
      </c>
      <c r="V31" s="85"/>
      <c r="W31" s="85"/>
      <c r="X31" s="85"/>
      <c r="Y31" s="85">
        <f t="shared" si="23"/>
        <v>3.3299999999999996E-2</v>
      </c>
      <c r="Z31" s="85"/>
      <c r="AA31" s="85"/>
      <c r="AB31" s="85"/>
      <c r="AC31" s="85">
        <f t="shared" si="19"/>
        <v>3.3299999999999996E-2</v>
      </c>
      <c r="AD31" s="86">
        <f t="shared" si="20"/>
        <v>46286.999999999993</v>
      </c>
      <c r="AE31" s="84" t="s">
        <v>183</v>
      </c>
    </row>
    <row r="32" spans="1:31" ht="22.5" customHeight="1" x14ac:dyDescent="0.25">
      <c r="A32" s="34" t="s">
        <v>36</v>
      </c>
      <c r="B32" s="66"/>
      <c r="C32" s="63"/>
      <c r="D32" s="73">
        <f t="shared" ref="D32:AD32" si="24">D33+D35</f>
        <v>1.54</v>
      </c>
      <c r="E32" s="68">
        <f t="shared" si="24"/>
        <v>0</v>
      </c>
      <c r="F32" s="73">
        <f t="shared" si="24"/>
        <v>0</v>
      </c>
      <c r="G32" s="68">
        <f t="shared" si="24"/>
        <v>0</v>
      </c>
      <c r="H32" s="73">
        <f t="shared" si="24"/>
        <v>0</v>
      </c>
      <c r="I32" s="68">
        <f t="shared" si="24"/>
        <v>0</v>
      </c>
      <c r="J32" s="68">
        <f t="shared" si="24"/>
        <v>1.54</v>
      </c>
      <c r="K32" s="67">
        <f t="shared" si="24"/>
        <v>2140600</v>
      </c>
      <c r="L32" s="73">
        <f t="shared" si="24"/>
        <v>0</v>
      </c>
      <c r="M32" s="73">
        <f t="shared" si="24"/>
        <v>0</v>
      </c>
      <c r="N32" s="68">
        <f t="shared" si="24"/>
        <v>0</v>
      </c>
      <c r="O32" s="73">
        <f t="shared" si="24"/>
        <v>0</v>
      </c>
      <c r="P32" s="68">
        <f t="shared" si="24"/>
        <v>0</v>
      </c>
      <c r="Q32" s="73">
        <f t="shared" si="24"/>
        <v>0</v>
      </c>
      <c r="R32" s="68">
        <f t="shared" si="24"/>
        <v>0</v>
      </c>
      <c r="S32" s="68">
        <f t="shared" si="24"/>
        <v>0</v>
      </c>
      <c r="T32" s="68">
        <f t="shared" si="24"/>
        <v>0</v>
      </c>
      <c r="U32" s="67">
        <f t="shared" si="24"/>
        <v>0</v>
      </c>
      <c r="V32" s="73">
        <f t="shared" si="24"/>
        <v>1.54</v>
      </c>
      <c r="W32" s="68">
        <f t="shared" si="24"/>
        <v>0</v>
      </c>
      <c r="X32" s="73">
        <f t="shared" si="24"/>
        <v>0</v>
      </c>
      <c r="Y32" s="68">
        <f t="shared" si="24"/>
        <v>0</v>
      </c>
      <c r="Z32" s="73">
        <f t="shared" si="24"/>
        <v>0</v>
      </c>
      <c r="AA32" s="73">
        <f t="shared" si="24"/>
        <v>0</v>
      </c>
      <c r="AB32" s="68">
        <f t="shared" si="24"/>
        <v>0</v>
      </c>
      <c r="AC32" s="68">
        <f>AC33+AC35</f>
        <v>1.54</v>
      </c>
      <c r="AD32" s="67">
        <f t="shared" si="24"/>
        <v>2140600</v>
      </c>
      <c r="AE32" s="72"/>
    </row>
    <row r="33" spans="1:31" ht="23.25" customHeight="1" x14ac:dyDescent="0.25">
      <c r="A33" s="59"/>
      <c r="B33" s="214" t="s">
        <v>29</v>
      </c>
      <c r="C33" s="60"/>
      <c r="D33" s="74">
        <f t="shared" ref="D33:AE33" si="25">SUM(D34:D34)</f>
        <v>0</v>
      </c>
      <c r="E33" s="78">
        <f t="shared" si="25"/>
        <v>0</v>
      </c>
      <c r="F33" s="74">
        <f t="shared" si="25"/>
        <v>0</v>
      </c>
      <c r="G33" s="78">
        <f t="shared" si="25"/>
        <v>0</v>
      </c>
      <c r="H33" s="74">
        <f t="shared" si="25"/>
        <v>0</v>
      </c>
      <c r="I33" s="78">
        <f t="shared" si="25"/>
        <v>0</v>
      </c>
      <c r="J33" s="78">
        <f t="shared" si="25"/>
        <v>0</v>
      </c>
      <c r="K33" s="75">
        <f t="shared" si="25"/>
        <v>0</v>
      </c>
      <c r="L33" s="74">
        <f t="shared" si="25"/>
        <v>0</v>
      </c>
      <c r="M33" s="74">
        <f t="shared" si="25"/>
        <v>0</v>
      </c>
      <c r="N33" s="78">
        <f t="shared" si="25"/>
        <v>0</v>
      </c>
      <c r="O33" s="74">
        <f t="shared" si="25"/>
        <v>0</v>
      </c>
      <c r="P33" s="78">
        <f t="shared" si="25"/>
        <v>0</v>
      </c>
      <c r="Q33" s="74">
        <f t="shared" si="25"/>
        <v>0</v>
      </c>
      <c r="R33" s="78">
        <f t="shared" si="25"/>
        <v>0</v>
      </c>
      <c r="S33" s="78">
        <f t="shared" si="25"/>
        <v>0</v>
      </c>
      <c r="T33" s="74">
        <f t="shared" si="25"/>
        <v>0</v>
      </c>
      <c r="U33" s="67">
        <f t="shared" si="25"/>
        <v>0</v>
      </c>
      <c r="V33" s="74">
        <f t="shared" si="25"/>
        <v>0</v>
      </c>
      <c r="W33" s="74">
        <f t="shared" si="25"/>
        <v>0</v>
      </c>
      <c r="X33" s="74">
        <f t="shared" si="25"/>
        <v>0</v>
      </c>
      <c r="Y33" s="78">
        <f t="shared" si="25"/>
        <v>0</v>
      </c>
      <c r="Z33" s="74">
        <f t="shared" si="25"/>
        <v>0</v>
      </c>
      <c r="AA33" s="74">
        <f t="shared" si="25"/>
        <v>0</v>
      </c>
      <c r="AB33" s="78">
        <f t="shared" si="25"/>
        <v>0</v>
      </c>
      <c r="AC33" s="78">
        <f t="shared" si="25"/>
        <v>0</v>
      </c>
      <c r="AD33" s="75">
        <f t="shared" si="25"/>
        <v>0</v>
      </c>
      <c r="AE33" s="74">
        <f t="shared" si="25"/>
        <v>0</v>
      </c>
    </row>
    <row r="34" spans="1:31" ht="45.75" hidden="1" customHeight="1" x14ac:dyDescent="0.25">
      <c r="A34" s="207"/>
      <c r="B34" s="215"/>
      <c r="C34" s="208"/>
      <c r="D34" s="209"/>
      <c r="E34" s="182"/>
      <c r="F34" s="182"/>
      <c r="G34" s="182"/>
      <c r="H34" s="182"/>
      <c r="I34" s="182"/>
      <c r="J34" s="182"/>
      <c r="K34" s="183"/>
      <c r="L34" s="182"/>
      <c r="M34" s="210"/>
      <c r="N34" s="182"/>
      <c r="O34" s="182"/>
      <c r="P34" s="182"/>
      <c r="Q34" s="182"/>
      <c r="R34" s="182"/>
      <c r="S34" s="211"/>
      <c r="T34" s="183"/>
      <c r="U34" s="60"/>
      <c r="V34" s="184"/>
      <c r="W34" s="184"/>
      <c r="X34" s="184"/>
      <c r="Y34" s="184"/>
      <c r="Z34" s="184"/>
      <c r="AA34" s="184"/>
      <c r="AB34" s="184"/>
      <c r="AC34" s="184"/>
      <c r="AD34" s="185"/>
      <c r="AE34" s="212"/>
    </row>
    <row r="35" spans="1:31" ht="48" customHeight="1" x14ac:dyDescent="0.25">
      <c r="A35" s="192"/>
      <c r="B35" s="193" t="s">
        <v>33</v>
      </c>
      <c r="C35" s="193"/>
      <c r="D35" s="194">
        <f t="shared" ref="D35:AD35" si="26">SUM(D36:D36)</f>
        <v>1.54</v>
      </c>
      <c r="E35" s="194">
        <f t="shared" si="26"/>
        <v>0</v>
      </c>
      <c r="F35" s="194">
        <f t="shared" si="26"/>
        <v>0</v>
      </c>
      <c r="G35" s="195">
        <f t="shared" si="26"/>
        <v>0</v>
      </c>
      <c r="H35" s="194">
        <f t="shared" si="26"/>
        <v>0</v>
      </c>
      <c r="I35" s="195">
        <f t="shared" si="26"/>
        <v>0</v>
      </c>
      <c r="J35" s="195">
        <f t="shared" si="26"/>
        <v>1.54</v>
      </c>
      <c r="K35" s="196">
        <f t="shared" si="26"/>
        <v>2140600</v>
      </c>
      <c r="L35" s="194">
        <f t="shared" si="26"/>
        <v>0</v>
      </c>
      <c r="M35" s="194">
        <f t="shared" si="26"/>
        <v>0</v>
      </c>
      <c r="N35" s="194">
        <f t="shared" si="26"/>
        <v>0</v>
      </c>
      <c r="O35" s="194">
        <f t="shared" si="26"/>
        <v>0</v>
      </c>
      <c r="P35" s="194">
        <f t="shared" si="26"/>
        <v>0</v>
      </c>
      <c r="Q35" s="194">
        <f t="shared" si="26"/>
        <v>0</v>
      </c>
      <c r="R35" s="194">
        <f t="shared" si="26"/>
        <v>0</v>
      </c>
      <c r="S35" s="194">
        <f t="shared" si="26"/>
        <v>0</v>
      </c>
      <c r="T35" s="194">
        <f t="shared" si="26"/>
        <v>0</v>
      </c>
      <c r="U35" s="194">
        <f t="shared" si="26"/>
        <v>0</v>
      </c>
      <c r="V35" s="213">
        <f t="shared" si="26"/>
        <v>1.54</v>
      </c>
      <c r="W35" s="194">
        <f t="shared" si="26"/>
        <v>0</v>
      </c>
      <c r="X35" s="194">
        <f t="shared" si="26"/>
        <v>0</v>
      </c>
      <c r="Y35" s="195">
        <f t="shared" si="26"/>
        <v>0</v>
      </c>
      <c r="Z35" s="194">
        <f t="shared" si="26"/>
        <v>0</v>
      </c>
      <c r="AA35" s="194">
        <f t="shared" si="26"/>
        <v>0</v>
      </c>
      <c r="AB35" s="195">
        <f t="shared" si="26"/>
        <v>0</v>
      </c>
      <c r="AC35" s="195">
        <f t="shared" si="26"/>
        <v>1.54</v>
      </c>
      <c r="AD35" s="196">
        <f t="shared" si="26"/>
        <v>2140600</v>
      </c>
      <c r="AE35" s="110"/>
    </row>
    <row r="36" spans="1:31" ht="45.75" customHeight="1" x14ac:dyDescent="0.25">
      <c r="A36" s="192">
        <v>1</v>
      </c>
      <c r="B36" s="112" t="s">
        <v>184</v>
      </c>
      <c r="C36" s="112"/>
      <c r="D36" s="218">
        <v>1.54</v>
      </c>
      <c r="E36" s="116"/>
      <c r="F36" s="116"/>
      <c r="G36" s="114"/>
      <c r="H36" s="219"/>
      <c r="I36" s="114"/>
      <c r="J36" s="114">
        <f>SUM(D36:I36)</f>
        <v>1.54</v>
      </c>
      <c r="K36" s="115">
        <f>J36*$B$6</f>
        <v>2140600</v>
      </c>
      <c r="L36" s="116"/>
      <c r="M36" s="116"/>
      <c r="N36" s="116"/>
      <c r="O36" s="116"/>
      <c r="P36" s="116"/>
      <c r="Q36" s="219"/>
      <c r="R36" s="114"/>
      <c r="S36" s="114"/>
      <c r="T36" s="115"/>
      <c r="U36" s="63" t="s">
        <v>185</v>
      </c>
      <c r="V36" s="218">
        <f>D36</f>
        <v>1.54</v>
      </c>
      <c r="W36" s="116"/>
      <c r="X36" s="116"/>
      <c r="Y36" s="114"/>
      <c r="Z36" s="116"/>
      <c r="AA36" s="116"/>
      <c r="AB36" s="114">
        <f>I36</f>
        <v>0</v>
      </c>
      <c r="AC36" s="218">
        <f>SUM(V36:AB36)</f>
        <v>1.54</v>
      </c>
      <c r="AD36" s="115">
        <f>AC36*$B$6</f>
        <v>2140600</v>
      </c>
      <c r="AE36" s="31" t="s">
        <v>186</v>
      </c>
    </row>
    <row r="37" spans="1:31" ht="12.75" customHeight="1" x14ac:dyDescent="0.25">
      <c r="A37" s="43"/>
      <c r="B37" s="42"/>
      <c r="C37" s="8"/>
      <c r="D37" s="9"/>
      <c r="E37" s="10"/>
      <c r="F37" s="11"/>
      <c r="G37" s="22"/>
      <c r="H37" s="22"/>
      <c r="I37" s="22"/>
      <c r="J37" s="23"/>
      <c r="K37" s="24"/>
      <c r="L37" s="12"/>
      <c r="M37" s="13"/>
      <c r="N37" s="13"/>
      <c r="O37" s="7"/>
      <c r="P37" s="7"/>
      <c r="Q37" s="14"/>
      <c r="R37" s="18"/>
      <c r="S37" s="18"/>
      <c r="T37" s="18"/>
      <c r="U37" s="18"/>
      <c r="V37" s="15"/>
      <c r="W37" s="6"/>
      <c r="X37" s="33"/>
      <c r="Y37" s="44"/>
      <c r="Z37" s="44"/>
      <c r="AA37" s="44"/>
      <c r="AB37" s="44"/>
      <c r="AC37" s="44"/>
      <c r="AD37" s="44"/>
      <c r="AE37" s="18"/>
    </row>
    <row r="38" spans="1:31" ht="15.75" x14ac:dyDescent="0.25">
      <c r="A38" s="43"/>
      <c r="B38" s="42"/>
      <c r="C38" s="8"/>
      <c r="D38" s="9"/>
      <c r="E38" s="10"/>
      <c r="F38" s="11"/>
      <c r="G38" s="22"/>
      <c r="H38" s="22"/>
      <c r="I38" s="22"/>
      <c r="J38" s="23"/>
      <c r="K38" s="24"/>
      <c r="L38" s="12"/>
      <c r="M38" s="13"/>
      <c r="N38" s="13"/>
      <c r="O38" s="7"/>
      <c r="P38" s="7"/>
      <c r="Q38" s="14"/>
      <c r="R38" s="18"/>
      <c r="S38" s="18"/>
      <c r="T38" s="18"/>
      <c r="U38" s="18"/>
      <c r="V38" s="15"/>
      <c r="W38" s="6"/>
      <c r="X38" s="33"/>
      <c r="Y38" s="44"/>
      <c r="Z38" s="44"/>
      <c r="AA38" s="301" t="s">
        <v>187</v>
      </c>
      <c r="AB38" s="301"/>
      <c r="AC38" s="301"/>
      <c r="AD38" s="301"/>
      <c r="AE38" s="301"/>
    </row>
    <row r="39" spans="1:31" ht="15.75" x14ac:dyDescent="0.25">
      <c r="A39" s="43"/>
      <c r="B39" s="291" t="s">
        <v>37</v>
      </c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3"/>
      <c r="W39" s="291" t="s">
        <v>38</v>
      </c>
      <c r="X39" s="291"/>
      <c r="Y39" s="291"/>
      <c r="Z39" s="291"/>
      <c r="AA39" s="302" t="s">
        <v>39</v>
      </c>
      <c r="AB39" s="302"/>
      <c r="AC39" s="302"/>
      <c r="AD39" s="302"/>
      <c r="AE39" s="302"/>
    </row>
    <row r="40" spans="1:31" ht="15.75" x14ac:dyDescent="0.25">
      <c r="A40" s="43"/>
      <c r="B40" s="2"/>
      <c r="C40" s="2"/>
      <c r="D40" s="2"/>
      <c r="E40" s="2"/>
      <c r="F40" s="2"/>
      <c r="G40" s="4"/>
      <c r="H40" s="4"/>
      <c r="I40" s="2"/>
      <c r="J40" s="2"/>
      <c r="K40" s="4"/>
      <c r="L40" s="2"/>
      <c r="M40" s="2"/>
      <c r="N40" s="2"/>
      <c r="O40" s="2"/>
      <c r="P40" s="2"/>
      <c r="Q40" s="2"/>
      <c r="R40" s="2"/>
      <c r="S40" s="206"/>
      <c r="T40" s="206"/>
      <c r="U40" s="206"/>
      <c r="V40" s="25"/>
      <c r="W40" s="206"/>
      <c r="X40" s="205"/>
      <c r="Y40" s="2"/>
      <c r="Z40" s="2"/>
      <c r="AA40" s="2"/>
      <c r="AB40" s="205"/>
      <c r="AC40" s="47"/>
      <c r="AD40" s="47"/>
      <c r="AE40" s="4"/>
    </row>
    <row r="41" spans="1:31" ht="15.75" x14ac:dyDescent="0.25">
      <c r="A41" s="43"/>
      <c r="B41" s="2"/>
      <c r="C41" s="2"/>
      <c r="D41" s="2"/>
      <c r="E41" s="2"/>
      <c r="F41" s="2"/>
      <c r="G41" s="4"/>
      <c r="H41" s="4"/>
      <c r="I41" s="2"/>
      <c r="J41" s="2"/>
      <c r="K41" s="4"/>
      <c r="L41" s="2"/>
      <c r="M41" s="2"/>
      <c r="N41" s="2"/>
      <c r="O41" s="2"/>
      <c r="P41" s="2"/>
      <c r="Q41" s="2"/>
      <c r="R41" s="2"/>
      <c r="S41" s="206"/>
      <c r="T41" s="25"/>
      <c r="U41" s="25"/>
      <c r="V41" s="2"/>
      <c r="W41" s="2"/>
      <c r="X41" s="2"/>
      <c r="Y41" s="48"/>
      <c r="Z41" s="2"/>
      <c r="AA41" s="2"/>
      <c r="AB41" s="2"/>
      <c r="AC41" s="41"/>
      <c r="AD41" s="41"/>
      <c r="AE41" s="3"/>
    </row>
    <row r="42" spans="1:31" ht="15.75" x14ac:dyDescent="0.25">
      <c r="A42" s="43"/>
      <c r="B42" s="2"/>
      <c r="C42" s="2"/>
      <c r="D42" s="2"/>
      <c r="E42" s="2"/>
      <c r="F42" s="2"/>
      <c r="G42" s="4"/>
      <c r="H42" s="4"/>
      <c r="I42" s="2"/>
      <c r="J42" s="2"/>
      <c r="K42" s="4"/>
      <c r="L42" s="2"/>
      <c r="M42" s="2"/>
      <c r="N42" s="2"/>
      <c r="O42" s="2"/>
      <c r="P42" s="2"/>
      <c r="Q42" s="2"/>
      <c r="R42" s="2"/>
      <c r="S42" s="2"/>
      <c r="T42" s="25"/>
      <c r="U42" s="25"/>
      <c r="V42" s="2"/>
      <c r="W42" s="2"/>
      <c r="X42" s="2"/>
      <c r="Y42" s="48"/>
      <c r="Z42" s="2"/>
      <c r="AA42" s="2"/>
      <c r="AB42" s="2"/>
      <c r="AC42" s="41"/>
      <c r="AD42" s="41"/>
      <c r="AE42" s="3"/>
    </row>
    <row r="43" spans="1:31" ht="15.75" x14ac:dyDescent="0.25">
      <c r="A43" s="43"/>
      <c r="B43" s="2"/>
      <c r="C43" s="2"/>
      <c r="D43" s="2"/>
      <c r="E43" s="2"/>
      <c r="F43" s="2"/>
      <c r="G43" s="4"/>
      <c r="H43" s="4"/>
      <c r="I43" s="2"/>
      <c r="J43" s="2"/>
      <c r="K43" s="4"/>
      <c r="L43" s="2"/>
      <c r="M43" s="2"/>
      <c r="N43" s="2"/>
      <c r="O43" s="2"/>
      <c r="P43" s="2"/>
      <c r="Q43" s="2"/>
      <c r="R43" s="2"/>
      <c r="S43" s="2"/>
      <c r="T43" s="25"/>
      <c r="U43" s="25"/>
      <c r="V43" s="2"/>
      <c r="W43" s="2"/>
      <c r="X43" s="2"/>
      <c r="Y43" s="48"/>
      <c r="Z43" s="2"/>
      <c r="AA43" s="2"/>
      <c r="AB43" s="2"/>
      <c r="AC43" s="41"/>
      <c r="AD43" s="41"/>
      <c r="AE43" s="3"/>
    </row>
    <row r="44" spans="1:31" ht="15.75" x14ac:dyDescent="0.25">
      <c r="A44" s="43"/>
      <c r="B44" s="291" t="s">
        <v>40</v>
      </c>
      <c r="C44" s="291"/>
      <c r="D44" s="291"/>
      <c r="E44" s="291"/>
      <c r="F44" s="291"/>
      <c r="G44" s="291"/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"/>
      <c r="W44" s="291" t="s">
        <v>41</v>
      </c>
      <c r="X44" s="291"/>
      <c r="Y44" s="291"/>
      <c r="Z44" s="291"/>
      <c r="AA44" s="291" t="s">
        <v>42</v>
      </c>
      <c r="AB44" s="291"/>
      <c r="AC44" s="291"/>
      <c r="AD44" s="291"/>
      <c r="AE44" s="291"/>
    </row>
    <row r="45" spans="1:31" ht="15.75" x14ac:dyDescent="0.25">
      <c r="A45" s="43"/>
      <c r="B45" s="2"/>
      <c r="C45" s="2"/>
      <c r="D45" s="2"/>
      <c r="E45" s="2"/>
      <c r="F45" s="2"/>
      <c r="G45" s="4"/>
      <c r="H45" s="4"/>
      <c r="I45" s="2"/>
      <c r="J45" s="2"/>
      <c r="K45" s="4"/>
      <c r="L45" s="2"/>
      <c r="M45" s="2"/>
      <c r="N45" s="2"/>
      <c r="O45" s="2"/>
      <c r="P45" s="2"/>
      <c r="Q45" s="2"/>
      <c r="R45" s="2"/>
      <c r="S45" s="2"/>
      <c r="T45" s="25"/>
      <c r="U45" s="25"/>
      <c r="V45" s="2"/>
      <c r="W45" s="6"/>
      <c r="X45" s="33"/>
      <c r="Y45" s="2"/>
      <c r="Z45" s="2"/>
      <c r="AA45" s="2"/>
      <c r="AB45" s="2"/>
      <c r="AC45" s="2"/>
      <c r="AD45" s="2"/>
      <c r="AE45" s="2"/>
    </row>
  </sheetData>
  <mergeCells count="20">
    <mergeCell ref="A5:AE5"/>
    <mergeCell ref="A1:U1"/>
    <mergeCell ref="AA1:AE1"/>
    <mergeCell ref="A2:U2"/>
    <mergeCell ref="AA2:AE2"/>
    <mergeCell ref="A3:U3"/>
    <mergeCell ref="B44:U44"/>
    <mergeCell ref="W44:Z44"/>
    <mergeCell ref="AA44:AE44"/>
    <mergeCell ref="A7:A8"/>
    <mergeCell ref="B7:B8"/>
    <mergeCell ref="C7:K7"/>
    <mergeCell ref="L7:T7"/>
    <mergeCell ref="U7:U8"/>
    <mergeCell ref="V7:AD7"/>
    <mergeCell ref="AE7:AE8"/>
    <mergeCell ref="AA38:AE38"/>
    <mergeCell ref="B39:U39"/>
    <mergeCell ref="W39:Z39"/>
    <mergeCell ref="AA39:AE39"/>
  </mergeCells>
  <pageMargins left="0.35433070866141736" right="0.19685039370078741" top="0.55118110236220474" bottom="0.43307086614173229" header="0.31496062992125984" footer="0.19685039370078741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topLeftCell="A28" workbookViewId="0">
      <selection activeCell="X16" sqref="X16"/>
    </sheetView>
  </sheetViews>
  <sheetFormatPr defaultRowHeight="15" x14ac:dyDescent="0.25"/>
  <cols>
    <col min="1" max="1" width="4.5703125" style="1" customWidth="1"/>
    <col min="2" max="2" width="24.5703125" style="1" customWidth="1"/>
    <col min="3" max="8" width="9.140625" style="1" hidden="1" customWidth="1"/>
    <col min="9" max="10" width="10.7109375" style="1" hidden="1" customWidth="1"/>
    <col min="11" max="11" width="15.5703125" style="1" hidden="1" customWidth="1"/>
    <col min="12" max="12" width="9.140625" style="1" hidden="1" customWidth="1"/>
    <col min="13" max="13" width="10" style="1" hidden="1" customWidth="1"/>
    <col min="14" max="14" width="9.5703125" style="1" hidden="1" customWidth="1"/>
    <col min="15" max="17" width="9.140625" style="1" hidden="1" customWidth="1"/>
    <col min="18" max="18" width="11.5703125" style="1" hidden="1" customWidth="1"/>
    <col min="19" max="19" width="10.5703125" style="1" hidden="1" customWidth="1"/>
    <col min="20" max="20" width="12.7109375" style="1" hidden="1" customWidth="1"/>
    <col min="21" max="21" width="11.5703125" style="1" customWidth="1"/>
    <col min="22" max="22" width="9.5703125" style="1" bestFit="1" customWidth="1"/>
    <col min="23" max="23" width="9.140625" style="1"/>
    <col min="24" max="24" width="9" style="1" customWidth="1"/>
    <col min="25" max="25" width="9.5703125" style="1" bestFit="1" customWidth="1"/>
    <col min="26" max="26" width="7.7109375" style="1" customWidth="1"/>
    <col min="27" max="27" width="9.140625" style="1"/>
    <col min="28" max="28" width="8.42578125" style="1" customWidth="1"/>
    <col min="29" max="29" width="9.5703125" style="1" bestFit="1" customWidth="1"/>
    <col min="30" max="30" width="16.5703125" style="1" bestFit="1" customWidth="1"/>
    <col min="31" max="31" width="11.425781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193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1490000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195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48.7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226</v>
      </c>
      <c r="AE9" s="27" t="s">
        <v>27</v>
      </c>
    </row>
    <row r="10" spans="1:31" ht="30.75" customHeight="1" x14ac:dyDescent="0.25">
      <c r="A10" s="34" t="s">
        <v>28</v>
      </c>
      <c r="B10" s="32"/>
      <c r="C10" s="31"/>
      <c r="D10" s="49">
        <f t="shared" ref="D10:AD10" si="0">D11+D15</f>
        <v>44.439000000000007</v>
      </c>
      <c r="E10" s="50">
        <f t="shared" si="0"/>
        <v>0.38279999999999997</v>
      </c>
      <c r="F10" s="49">
        <f t="shared" si="0"/>
        <v>2.15</v>
      </c>
      <c r="G10" s="50">
        <f t="shared" si="0"/>
        <v>2.9807000000000001</v>
      </c>
      <c r="H10" s="49">
        <f t="shared" si="0"/>
        <v>0</v>
      </c>
      <c r="I10" s="50">
        <f t="shared" si="0"/>
        <v>10.280000000000001</v>
      </c>
      <c r="J10" s="50">
        <f t="shared" si="0"/>
        <v>60.232499999999987</v>
      </c>
      <c r="K10" s="62">
        <f t="shared" si="0"/>
        <v>89746425</v>
      </c>
      <c r="L10" s="49">
        <f t="shared" si="0"/>
        <v>0</v>
      </c>
      <c r="M10" s="49">
        <f t="shared" si="0"/>
        <v>48.129000000000005</v>
      </c>
      <c r="N10" s="50">
        <f t="shared" si="0"/>
        <v>0.41760000000000003</v>
      </c>
      <c r="O10" s="49">
        <f t="shared" si="0"/>
        <v>2.3499999999999996</v>
      </c>
      <c r="P10" s="50">
        <f t="shared" si="0"/>
        <v>4.2706999999999997</v>
      </c>
      <c r="Q10" s="49">
        <f t="shared" si="0"/>
        <v>0.45</v>
      </c>
      <c r="R10" s="50">
        <f t="shared" si="0"/>
        <v>10.495000000000001</v>
      </c>
      <c r="S10" s="50">
        <f t="shared" si="0"/>
        <v>66.112300000000005</v>
      </c>
      <c r="T10" s="62">
        <f t="shared" si="0"/>
        <v>98507327</v>
      </c>
      <c r="U10" s="49">
        <f t="shared" si="0"/>
        <v>0</v>
      </c>
      <c r="V10" s="49">
        <f t="shared" si="0"/>
        <v>3.69</v>
      </c>
      <c r="W10" s="50">
        <f t="shared" si="0"/>
        <v>3.4800000000000053E-2</v>
      </c>
      <c r="X10" s="49">
        <f t="shared" si="0"/>
        <v>0.2</v>
      </c>
      <c r="Y10" s="50">
        <f t="shared" si="0"/>
        <v>1.29</v>
      </c>
      <c r="Z10" s="49">
        <f t="shared" si="0"/>
        <v>0</v>
      </c>
      <c r="AA10" s="49">
        <f t="shared" si="0"/>
        <v>0.45</v>
      </c>
      <c r="AB10" s="50">
        <f t="shared" si="0"/>
        <v>0.21499999999999975</v>
      </c>
      <c r="AC10" s="50">
        <f t="shared" si="0"/>
        <v>5.8797999999999995</v>
      </c>
      <c r="AD10" s="62">
        <f t="shared" si="0"/>
        <v>8760902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 t="shared" ref="D11:AD11" si="1">SUM(D12:D14)</f>
        <v>13.620000000000001</v>
      </c>
      <c r="E11" s="61">
        <f t="shared" si="1"/>
        <v>0</v>
      </c>
      <c r="F11" s="53">
        <f t="shared" si="1"/>
        <v>1.2</v>
      </c>
      <c r="G11" s="61">
        <f t="shared" si="1"/>
        <v>2.7797000000000001</v>
      </c>
      <c r="H11" s="53">
        <f t="shared" si="1"/>
        <v>0</v>
      </c>
      <c r="I11" s="61">
        <f t="shared" si="1"/>
        <v>3.7050000000000005</v>
      </c>
      <c r="J11" s="61">
        <f t="shared" si="1"/>
        <v>21.3047</v>
      </c>
      <c r="K11" s="121">
        <f t="shared" si="1"/>
        <v>31744003</v>
      </c>
      <c r="L11" s="53">
        <f t="shared" si="1"/>
        <v>0</v>
      </c>
      <c r="M11" s="53">
        <f t="shared" si="1"/>
        <v>14.280000000000001</v>
      </c>
      <c r="N11" s="61">
        <f t="shared" si="1"/>
        <v>0</v>
      </c>
      <c r="O11" s="53">
        <f t="shared" si="1"/>
        <v>1.2999999999999998</v>
      </c>
      <c r="P11" s="61">
        <f t="shared" si="1"/>
        <v>2.9161999999999999</v>
      </c>
      <c r="Q11" s="53">
        <f t="shared" si="1"/>
        <v>0</v>
      </c>
      <c r="R11" s="61">
        <f t="shared" si="1"/>
        <v>3.895</v>
      </c>
      <c r="S11" s="61">
        <f t="shared" si="1"/>
        <v>22.391199999999998</v>
      </c>
      <c r="T11" s="121">
        <f t="shared" si="1"/>
        <v>33362888</v>
      </c>
      <c r="U11" s="53">
        <f t="shared" si="1"/>
        <v>0</v>
      </c>
      <c r="V11" s="53">
        <f t="shared" si="1"/>
        <v>0.66000000000000014</v>
      </c>
      <c r="W11" s="61">
        <f t="shared" si="1"/>
        <v>0</v>
      </c>
      <c r="X11" s="53">
        <f t="shared" si="1"/>
        <v>9.9999999999999978E-2</v>
      </c>
      <c r="Y11" s="61">
        <f t="shared" si="1"/>
        <v>0.13649999999999995</v>
      </c>
      <c r="Z11" s="53">
        <f t="shared" si="1"/>
        <v>0</v>
      </c>
      <c r="AA11" s="53">
        <f t="shared" si="1"/>
        <v>0</v>
      </c>
      <c r="AB11" s="61">
        <f t="shared" si="1"/>
        <v>0.18999999999999972</v>
      </c>
      <c r="AC11" s="61">
        <f t="shared" si="1"/>
        <v>1.0864999999999998</v>
      </c>
      <c r="AD11" s="121">
        <f t="shared" si="1"/>
        <v>1618884.9999999995</v>
      </c>
      <c r="AE11" s="51"/>
    </row>
    <row r="12" spans="1:31" ht="39.75" customHeight="1" x14ac:dyDescent="0.25">
      <c r="A12" s="96">
        <v>1</v>
      </c>
      <c r="B12" s="97" t="s">
        <v>153</v>
      </c>
      <c r="C12" s="96"/>
      <c r="D12" s="98">
        <v>3.99</v>
      </c>
      <c r="E12" s="99"/>
      <c r="F12" s="98">
        <v>0.7</v>
      </c>
      <c r="G12" s="99">
        <f>ROUND((D12+E12+F12)*16/100,4)</f>
        <v>0.75039999999999996</v>
      </c>
      <c r="H12" s="98"/>
      <c r="I12" s="99">
        <f>ROUND((D12+E12+F12)*25/100,4)</f>
        <v>1.1725000000000001</v>
      </c>
      <c r="J12" s="99">
        <f>ROUND(SUM(D12:I12),4)</f>
        <v>6.6128999999999998</v>
      </c>
      <c r="K12" s="100">
        <f>ROUND(J12*$B$6,4)</f>
        <v>9853221</v>
      </c>
      <c r="L12" s="98"/>
      <c r="M12" s="98">
        <v>4.32</v>
      </c>
      <c r="N12" s="99"/>
      <c r="O12" s="98">
        <v>0.7</v>
      </c>
      <c r="P12" s="99">
        <f>ROUND((M12+N12+O12)*16/100,4)</f>
        <v>0.80320000000000003</v>
      </c>
      <c r="Q12" s="98"/>
      <c r="R12" s="99">
        <f>ROUND((M12+N12+O12)*25/100,4)</f>
        <v>1.2549999999999999</v>
      </c>
      <c r="S12" s="99">
        <f>ROUND(SUM(M12:R12),4)</f>
        <v>7.0781999999999998</v>
      </c>
      <c r="T12" s="100">
        <f>ROUND(S12*$B$6,0)</f>
        <v>10546518</v>
      </c>
      <c r="U12" s="141" t="s">
        <v>31</v>
      </c>
      <c r="V12" s="98">
        <f t="shared" ref="V12:Y13" si="2">M12-D12</f>
        <v>0.33000000000000007</v>
      </c>
      <c r="W12" s="99">
        <f t="shared" si="2"/>
        <v>0</v>
      </c>
      <c r="X12" s="98">
        <f t="shared" si="2"/>
        <v>0</v>
      </c>
      <c r="Y12" s="99">
        <f t="shared" si="2"/>
        <v>5.2800000000000069E-2</v>
      </c>
      <c r="Z12" s="98"/>
      <c r="AA12" s="98"/>
      <c r="AB12" s="99">
        <f>R12-I12</f>
        <v>8.2499999999999796E-2</v>
      </c>
      <c r="AC12" s="99">
        <f>SUM(V12:AB12)</f>
        <v>0.46529999999999994</v>
      </c>
      <c r="AD12" s="100">
        <f>AC12*$B$6</f>
        <v>693296.99999999988</v>
      </c>
      <c r="AE12" s="84" t="s">
        <v>194</v>
      </c>
    </row>
    <row r="13" spans="1:31" ht="39.75" customHeight="1" x14ac:dyDescent="0.25">
      <c r="A13" s="96">
        <v>2</v>
      </c>
      <c r="B13" s="97" t="s">
        <v>152</v>
      </c>
      <c r="C13" s="147"/>
      <c r="D13" s="200">
        <v>4.9800000000000004</v>
      </c>
      <c r="E13" s="99"/>
      <c r="F13" s="200">
        <v>0.25</v>
      </c>
      <c r="G13" s="99">
        <f>ROUND((D13+E13+F13)*21/100,4)</f>
        <v>1.0983000000000001</v>
      </c>
      <c r="H13" s="200"/>
      <c r="I13" s="99">
        <f t="shared" ref="I13:I14" si="3">ROUND((D13+E13+F13)*25/100,4)</f>
        <v>1.3075000000000001</v>
      </c>
      <c r="J13" s="99">
        <f t="shared" ref="J13:J14" si="4">ROUND(SUM(D13:I13),4)</f>
        <v>7.6357999999999997</v>
      </c>
      <c r="K13" s="100">
        <f t="shared" ref="K13:K14" si="5">ROUND(J13*$B$6,4)</f>
        <v>11377342</v>
      </c>
      <c r="L13" s="200"/>
      <c r="M13" s="200">
        <v>4.9800000000000004</v>
      </c>
      <c r="N13" s="99"/>
      <c r="O13" s="200">
        <v>0.35</v>
      </c>
      <c r="P13" s="99">
        <f>ROUND((M13+N13+O13)*21/100,4)</f>
        <v>1.1193</v>
      </c>
      <c r="Q13" s="200"/>
      <c r="R13" s="99">
        <f t="shared" ref="R13:R14" si="6">ROUND((M13+N13+O13)*25/100,4)</f>
        <v>1.3325</v>
      </c>
      <c r="S13" s="99">
        <f t="shared" ref="S13:S14" si="7">ROUND(SUM(M13:R13),4)</f>
        <v>7.7817999999999996</v>
      </c>
      <c r="T13" s="100">
        <f t="shared" ref="T13:T14" si="8">ROUND(S13*$B$6,0)</f>
        <v>11594882</v>
      </c>
      <c r="U13" s="203" t="s">
        <v>31</v>
      </c>
      <c r="V13" s="200">
        <f t="shared" si="2"/>
        <v>0</v>
      </c>
      <c r="W13" s="138">
        <f t="shared" si="2"/>
        <v>0</v>
      </c>
      <c r="X13" s="137">
        <f t="shared" si="2"/>
        <v>9.9999999999999978E-2</v>
      </c>
      <c r="Y13" s="138">
        <f t="shared" si="2"/>
        <v>2.0999999999999908E-2</v>
      </c>
      <c r="Z13" s="137"/>
      <c r="AA13" s="137"/>
      <c r="AB13" s="138">
        <f>R13-I13</f>
        <v>2.4999999999999911E-2</v>
      </c>
      <c r="AC13" s="201">
        <f>SUM(V13:AB13)</f>
        <v>0.1459999999999998</v>
      </c>
      <c r="AD13" s="202">
        <f>AC13*$B$6</f>
        <v>217539.99999999971</v>
      </c>
      <c r="AE13" s="204" t="s">
        <v>201</v>
      </c>
    </row>
    <row r="14" spans="1:31" ht="39.75" customHeight="1" x14ac:dyDescent="0.25">
      <c r="A14" s="96">
        <v>3</v>
      </c>
      <c r="B14" s="136" t="s">
        <v>216</v>
      </c>
      <c r="C14" s="102"/>
      <c r="D14" s="137">
        <v>4.6500000000000004</v>
      </c>
      <c r="E14" s="99"/>
      <c r="F14" s="137">
        <v>0.25</v>
      </c>
      <c r="G14" s="99">
        <f>ROUND((D14+E14+F14)*19/100,4)</f>
        <v>0.93100000000000005</v>
      </c>
      <c r="H14" s="137"/>
      <c r="I14" s="99">
        <f t="shared" si="3"/>
        <v>1.2250000000000001</v>
      </c>
      <c r="J14" s="99">
        <f t="shared" si="4"/>
        <v>7.056</v>
      </c>
      <c r="K14" s="100">
        <f t="shared" si="5"/>
        <v>10513440</v>
      </c>
      <c r="L14" s="137"/>
      <c r="M14" s="137">
        <v>4.9800000000000004</v>
      </c>
      <c r="N14" s="99"/>
      <c r="O14" s="137">
        <v>0.25</v>
      </c>
      <c r="P14" s="99">
        <f>ROUND((M14+N14+O14)*19/100,4)</f>
        <v>0.99370000000000003</v>
      </c>
      <c r="Q14" s="137"/>
      <c r="R14" s="99">
        <f t="shared" si="6"/>
        <v>1.3075000000000001</v>
      </c>
      <c r="S14" s="99">
        <f t="shared" si="7"/>
        <v>7.5312000000000001</v>
      </c>
      <c r="T14" s="100">
        <f t="shared" si="8"/>
        <v>11221488</v>
      </c>
      <c r="U14" s="191" t="s">
        <v>31</v>
      </c>
      <c r="V14" s="137">
        <f>M14-D14</f>
        <v>0.33000000000000007</v>
      </c>
      <c r="W14" s="201">
        <f>N14-E14</f>
        <v>0</v>
      </c>
      <c r="X14" s="98"/>
      <c r="Y14" s="201">
        <f>P14-G14</f>
        <v>6.2699999999999978E-2</v>
      </c>
      <c r="Z14" s="98"/>
      <c r="AA14" s="98"/>
      <c r="AB14" s="201">
        <f>R14-I14</f>
        <v>8.2500000000000018E-2</v>
      </c>
      <c r="AC14" s="138">
        <f t="shared" ref="AC14" si="9">SUM(V14:AB14)</f>
        <v>0.47520000000000007</v>
      </c>
      <c r="AD14" s="139">
        <f t="shared" ref="AD14" si="10">AC14*$B$6</f>
        <v>708048.00000000012</v>
      </c>
      <c r="AE14" s="140" t="s">
        <v>217</v>
      </c>
    </row>
    <row r="15" spans="1:31" ht="59.25" customHeight="1" x14ac:dyDescent="0.25">
      <c r="A15" s="102"/>
      <c r="B15" s="92" t="s">
        <v>33</v>
      </c>
      <c r="C15" s="69"/>
      <c r="D15" s="106">
        <f t="shared" ref="D15:AD15" si="11">SUM(D16:D27)</f>
        <v>30.819000000000006</v>
      </c>
      <c r="E15" s="106">
        <f t="shared" si="11"/>
        <v>0.38279999999999997</v>
      </c>
      <c r="F15" s="106">
        <f t="shared" si="11"/>
        <v>0.95</v>
      </c>
      <c r="G15" s="71">
        <f t="shared" si="11"/>
        <v>0.20100000000000001</v>
      </c>
      <c r="H15" s="106">
        <f t="shared" si="11"/>
        <v>0</v>
      </c>
      <c r="I15" s="71">
        <f t="shared" si="11"/>
        <v>6.5750000000000011</v>
      </c>
      <c r="J15" s="71">
        <f t="shared" si="11"/>
        <v>38.927799999999991</v>
      </c>
      <c r="K15" s="70">
        <f t="shared" si="11"/>
        <v>58002422</v>
      </c>
      <c r="L15" s="106">
        <f t="shared" si="11"/>
        <v>0</v>
      </c>
      <c r="M15" s="106">
        <f t="shared" si="11"/>
        <v>33.849000000000004</v>
      </c>
      <c r="N15" s="71">
        <f t="shared" si="11"/>
        <v>0.41760000000000003</v>
      </c>
      <c r="O15" s="106">
        <f t="shared" si="11"/>
        <v>1.05</v>
      </c>
      <c r="P15" s="71">
        <f t="shared" si="11"/>
        <v>1.3544999999999998</v>
      </c>
      <c r="Q15" s="106">
        <f t="shared" si="11"/>
        <v>0.45</v>
      </c>
      <c r="R15" s="71">
        <f t="shared" si="11"/>
        <v>6.6000000000000014</v>
      </c>
      <c r="S15" s="71">
        <f t="shared" si="11"/>
        <v>43.7211</v>
      </c>
      <c r="T15" s="70">
        <f t="shared" si="11"/>
        <v>65144439</v>
      </c>
      <c r="U15" s="106">
        <f t="shared" si="11"/>
        <v>0</v>
      </c>
      <c r="V15" s="71">
        <f t="shared" si="11"/>
        <v>3.03</v>
      </c>
      <c r="W15" s="71">
        <f t="shared" si="11"/>
        <v>3.4800000000000053E-2</v>
      </c>
      <c r="X15" s="106">
        <f t="shared" si="11"/>
        <v>0.10000000000000003</v>
      </c>
      <c r="Y15" s="71">
        <f t="shared" si="11"/>
        <v>1.1535</v>
      </c>
      <c r="Z15" s="106">
        <f t="shared" si="11"/>
        <v>0</v>
      </c>
      <c r="AA15" s="106">
        <f t="shared" si="11"/>
        <v>0.45</v>
      </c>
      <c r="AB15" s="71">
        <f t="shared" si="11"/>
        <v>2.5000000000000022E-2</v>
      </c>
      <c r="AC15" s="71">
        <f t="shared" si="11"/>
        <v>4.7932999999999995</v>
      </c>
      <c r="AD15" s="70">
        <f t="shared" si="11"/>
        <v>7142017</v>
      </c>
      <c r="AE15" s="106">
        <v>0</v>
      </c>
    </row>
    <row r="16" spans="1:31" ht="42.75" customHeight="1" x14ac:dyDescent="0.25">
      <c r="A16" s="96">
        <v>1</v>
      </c>
      <c r="B16" s="77" t="s">
        <v>111</v>
      </c>
      <c r="C16" s="79"/>
      <c r="D16" s="35">
        <v>3</v>
      </c>
      <c r="E16" s="80"/>
      <c r="F16" s="80">
        <v>0.35</v>
      </c>
      <c r="G16" s="80">
        <f>ROUND((D16+E16+F16)*6/100,4)</f>
        <v>0.20100000000000001</v>
      </c>
      <c r="H16" s="81"/>
      <c r="I16" s="80">
        <f>ROUND((D16+E16+F16)*25/100,4)</f>
        <v>0.83750000000000002</v>
      </c>
      <c r="J16" s="80">
        <f>ROUND(SUM(D16:I16),4)</f>
        <v>4.3884999999999996</v>
      </c>
      <c r="K16" s="76">
        <f>ROUND(J16*$B$6,0)</f>
        <v>6538865</v>
      </c>
      <c r="L16" s="82"/>
      <c r="M16" s="88">
        <v>3</v>
      </c>
      <c r="N16" s="80"/>
      <c r="O16" s="80">
        <v>0.45</v>
      </c>
      <c r="P16" s="80">
        <f>ROUND((M16+N16+O16)*6/100,4)</f>
        <v>0.20699999999999999</v>
      </c>
      <c r="Q16" s="81"/>
      <c r="R16" s="80">
        <f>ROUND((M16+N16+O16)*25/100,4)</f>
        <v>0.86250000000000004</v>
      </c>
      <c r="S16" s="64">
        <f>ROUND(SUM(M16:R16),4)</f>
        <v>4.5194999999999999</v>
      </c>
      <c r="T16" s="83">
        <f>ROUND(S16*$B$6,0)</f>
        <v>6734055</v>
      </c>
      <c r="U16" s="60" t="s">
        <v>34</v>
      </c>
      <c r="V16" s="85">
        <f t="shared" ref="V16:V23" si="12">M16-D16</f>
        <v>0</v>
      </c>
      <c r="W16" s="85"/>
      <c r="X16" s="85">
        <f>O16-F16</f>
        <v>0.10000000000000003</v>
      </c>
      <c r="Y16" s="85">
        <f>P16-G16</f>
        <v>5.9999999999999776E-3</v>
      </c>
      <c r="Z16" s="85"/>
      <c r="AA16" s="85"/>
      <c r="AB16" s="85">
        <f>R16-I16</f>
        <v>2.5000000000000022E-2</v>
      </c>
      <c r="AC16" s="85">
        <f>SUM(V16:AB16)</f>
        <v>0.13100000000000003</v>
      </c>
      <c r="AD16" s="86">
        <f>AC16*$B$6</f>
        <v>195190.00000000006</v>
      </c>
      <c r="AE16" s="84" t="s">
        <v>202</v>
      </c>
    </row>
    <row r="17" spans="1:31" ht="35.25" customHeight="1" x14ac:dyDescent="0.25">
      <c r="A17" s="96">
        <v>2</v>
      </c>
      <c r="B17" s="77" t="s">
        <v>203</v>
      </c>
      <c r="C17" s="79"/>
      <c r="D17" s="35">
        <v>3.48</v>
      </c>
      <c r="E17" s="80">
        <f>ROUND(D17*11/100,4)</f>
        <v>0.38279999999999997</v>
      </c>
      <c r="F17" s="80"/>
      <c r="G17" s="80"/>
      <c r="H17" s="81"/>
      <c r="I17" s="80"/>
      <c r="J17" s="80">
        <f t="shared" ref="J17:J27" si="13">ROUND(SUM(D17:I17),4)</f>
        <v>3.8628</v>
      </c>
      <c r="K17" s="76">
        <f t="shared" ref="K17:K27" si="14">ROUND(J17*$B$6,0)</f>
        <v>5755572</v>
      </c>
      <c r="L17" s="82"/>
      <c r="M17" s="88">
        <v>3.48</v>
      </c>
      <c r="N17" s="80">
        <f>ROUND(M17*12/100,4)</f>
        <v>0.41760000000000003</v>
      </c>
      <c r="O17" s="80"/>
      <c r="P17" s="80"/>
      <c r="Q17" s="81"/>
      <c r="R17" s="80"/>
      <c r="S17" s="64">
        <f t="shared" ref="S17:S27" si="15">ROUND(SUM(M17:R17),4)</f>
        <v>3.8976000000000002</v>
      </c>
      <c r="T17" s="83">
        <f t="shared" ref="T17:T27" si="16">ROUND(S17*$B$6,0)</f>
        <v>5807424</v>
      </c>
      <c r="U17" s="60" t="s">
        <v>35</v>
      </c>
      <c r="V17" s="85">
        <f t="shared" si="12"/>
        <v>0</v>
      </c>
      <c r="W17" s="85">
        <f>N17-E17</f>
        <v>3.4800000000000053E-2</v>
      </c>
      <c r="X17" s="85"/>
      <c r="Y17" s="85">
        <f t="shared" ref="Y17:Y20" si="17">P17-G17</f>
        <v>0</v>
      </c>
      <c r="Z17" s="85"/>
      <c r="AA17" s="85"/>
      <c r="AB17" s="85"/>
      <c r="AC17" s="85">
        <f t="shared" ref="AC17:AC27" si="18">SUM(V17:AB17)</f>
        <v>3.4800000000000053E-2</v>
      </c>
      <c r="AD17" s="86">
        <f t="shared" ref="AD17:AD27" si="19">AC17*$B$6</f>
        <v>51852.00000000008</v>
      </c>
      <c r="AE17" s="84" t="s">
        <v>204</v>
      </c>
    </row>
    <row r="18" spans="1:31" ht="35.25" customHeight="1" x14ac:dyDescent="0.25">
      <c r="A18" s="96">
        <v>3</v>
      </c>
      <c r="B18" s="77" t="s">
        <v>205</v>
      </c>
      <c r="C18" s="79"/>
      <c r="D18" s="35">
        <v>3</v>
      </c>
      <c r="E18" s="80"/>
      <c r="F18" s="80"/>
      <c r="G18" s="80"/>
      <c r="H18" s="81"/>
      <c r="I18" s="80">
        <f>ROUND((D18+E18+F18)*25/100,4)</f>
        <v>0.75</v>
      </c>
      <c r="J18" s="80">
        <f t="shared" si="13"/>
        <v>3.75</v>
      </c>
      <c r="K18" s="76">
        <f t="shared" si="14"/>
        <v>5587500</v>
      </c>
      <c r="L18" s="82"/>
      <c r="M18" s="88">
        <v>3</v>
      </c>
      <c r="N18" s="80"/>
      <c r="O18" s="80"/>
      <c r="P18" s="80">
        <f>ROUND((M18+N18+O18)*5/100,4)</f>
        <v>0.15</v>
      </c>
      <c r="Q18" s="81"/>
      <c r="R18" s="80">
        <f>ROUND((M18+N18+O18)*25/100,4)</f>
        <v>0.75</v>
      </c>
      <c r="S18" s="64">
        <f t="shared" si="15"/>
        <v>3.9</v>
      </c>
      <c r="T18" s="83">
        <f t="shared" si="16"/>
        <v>5811000</v>
      </c>
      <c r="U18" s="60" t="s">
        <v>34</v>
      </c>
      <c r="V18" s="85">
        <f t="shared" si="12"/>
        <v>0</v>
      </c>
      <c r="W18" s="85"/>
      <c r="X18" s="85"/>
      <c r="Y18" s="85">
        <f t="shared" si="17"/>
        <v>0.15</v>
      </c>
      <c r="Z18" s="85"/>
      <c r="AA18" s="85"/>
      <c r="AB18" s="85"/>
      <c r="AC18" s="85">
        <f t="shared" si="18"/>
        <v>0.15</v>
      </c>
      <c r="AD18" s="86">
        <f t="shared" si="19"/>
        <v>223500</v>
      </c>
      <c r="AE18" s="84" t="s">
        <v>206</v>
      </c>
    </row>
    <row r="19" spans="1:31" ht="35.25" customHeight="1" x14ac:dyDescent="0.25">
      <c r="A19" s="96">
        <v>4</v>
      </c>
      <c r="B19" s="77" t="s">
        <v>207</v>
      </c>
      <c r="C19" s="79"/>
      <c r="D19" s="35">
        <v>2.67</v>
      </c>
      <c r="E19" s="80"/>
      <c r="F19" s="80"/>
      <c r="G19" s="80"/>
      <c r="H19" s="81"/>
      <c r="I19" s="80">
        <f t="shared" ref="I19:I23" si="20">ROUND((D19+E19+F19)*25/100,4)</f>
        <v>0.66749999999999998</v>
      </c>
      <c r="J19" s="80">
        <f t="shared" si="13"/>
        <v>3.3374999999999999</v>
      </c>
      <c r="K19" s="76">
        <f t="shared" si="14"/>
        <v>4972875</v>
      </c>
      <c r="L19" s="82"/>
      <c r="M19" s="88">
        <v>2.67</v>
      </c>
      <c r="N19" s="80"/>
      <c r="O19" s="80"/>
      <c r="P19" s="80">
        <f t="shared" ref="P19:P23" si="21">ROUND((M19+N19+O19)*5/100,4)</f>
        <v>0.13350000000000001</v>
      </c>
      <c r="Q19" s="81"/>
      <c r="R19" s="80">
        <f t="shared" ref="R19:R23" si="22">ROUND((M19+N19+O19)*25/100,4)</f>
        <v>0.66749999999999998</v>
      </c>
      <c r="S19" s="64">
        <f t="shared" si="15"/>
        <v>3.4710000000000001</v>
      </c>
      <c r="T19" s="83">
        <f t="shared" si="16"/>
        <v>5171790</v>
      </c>
      <c r="U19" s="60" t="s">
        <v>34</v>
      </c>
      <c r="V19" s="85">
        <f t="shared" si="12"/>
        <v>0</v>
      </c>
      <c r="W19" s="85"/>
      <c r="X19" s="85"/>
      <c r="Y19" s="85">
        <f t="shared" si="17"/>
        <v>0.13350000000000001</v>
      </c>
      <c r="Z19" s="85"/>
      <c r="AA19" s="85"/>
      <c r="AB19" s="85"/>
      <c r="AC19" s="85">
        <f t="shared" si="18"/>
        <v>0.13350000000000001</v>
      </c>
      <c r="AD19" s="86">
        <f t="shared" si="19"/>
        <v>198915</v>
      </c>
      <c r="AE19" s="84" t="s">
        <v>208</v>
      </c>
    </row>
    <row r="20" spans="1:31" ht="35.25" customHeight="1" x14ac:dyDescent="0.25">
      <c r="A20" s="96">
        <v>5</v>
      </c>
      <c r="B20" s="77" t="s">
        <v>209</v>
      </c>
      <c r="C20" s="79"/>
      <c r="D20" s="148">
        <v>3</v>
      </c>
      <c r="E20" s="80"/>
      <c r="F20" s="80"/>
      <c r="G20" s="80"/>
      <c r="H20" s="81"/>
      <c r="I20" s="80">
        <f t="shared" si="20"/>
        <v>0.75</v>
      </c>
      <c r="J20" s="80">
        <f t="shared" si="13"/>
        <v>3.75</v>
      </c>
      <c r="K20" s="76">
        <f t="shared" si="14"/>
        <v>5587500</v>
      </c>
      <c r="L20" s="82"/>
      <c r="M20" s="88">
        <v>3</v>
      </c>
      <c r="N20" s="80"/>
      <c r="O20" s="80"/>
      <c r="P20" s="80">
        <f t="shared" si="21"/>
        <v>0.15</v>
      </c>
      <c r="Q20" s="81"/>
      <c r="R20" s="80">
        <f t="shared" si="22"/>
        <v>0.75</v>
      </c>
      <c r="S20" s="64">
        <f t="shared" si="15"/>
        <v>3.9</v>
      </c>
      <c r="T20" s="83">
        <f t="shared" si="16"/>
        <v>5811000</v>
      </c>
      <c r="U20" s="60" t="s">
        <v>34</v>
      </c>
      <c r="V20" s="85">
        <f t="shared" si="12"/>
        <v>0</v>
      </c>
      <c r="W20" s="85"/>
      <c r="X20" s="85"/>
      <c r="Y20" s="85">
        <f t="shared" si="17"/>
        <v>0.15</v>
      </c>
      <c r="Z20" s="85"/>
      <c r="AA20" s="85"/>
      <c r="AB20" s="85"/>
      <c r="AC20" s="85">
        <f t="shared" si="18"/>
        <v>0.15</v>
      </c>
      <c r="AD20" s="86">
        <f t="shared" si="19"/>
        <v>223500</v>
      </c>
      <c r="AE20" s="84" t="s">
        <v>208</v>
      </c>
    </row>
    <row r="21" spans="1:31" ht="35.25" customHeight="1" x14ac:dyDescent="0.25">
      <c r="A21" s="96">
        <v>6</v>
      </c>
      <c r="B21" s="77" t="s">
        <v>210</v>
      </c>
      <c r="C21" s="79"/>
      <c r="D21" s="148">
        <v>3</v>
      </c>
      <c r="E21" s="80"/>
      <c r="F21" s="80"/>
      <c r="G21" s="80"/>
      <c r="H21" s="81"/>
      <c r="I21" s="80">
        <f t="shared" si="20"/>
        <v>0.75</v>
      </c>
      <c r="J21" s="80">
        <f t="shared" si="13"/>
        <v>3.75</v>
      </c>
      <c r="K21" s="76">
        <f t="shared" si="14"/>
        <v>5587500</v>
      </c>
      <c r="L21" s="82"/>
      <c r="M21" s="88">
        <v>3</v>
      </c>
      <c r="N21" s="80"/>
      <c r="O21" s="80"/>
      <c r="P21" s="80">
        <f t="shared" si="21"/>
        <v>0.15</v>
      </c>
      <c r="Q21" s="81"/>
      <c r="R21" s="80">
        <f t="shared" si="22"/>
        <v>0.75</v>
      </c>
      <c r="S21" s="64">
        <f t="shared" si="15"/>
        <v>3.9</v>
      </c>
      <c r="T21" s="83">
        <f t="shared" si="16"/>
        <v>5811000</v>
      </c>
      <c r="U21" s="60" t="s">
        <v>34</v>
      </c>
      <c r="V21" s="85">
        <f t="shared" si="12"/>
        <v>0</v>
      </c>
      <c r="W21" s="85"/>
      <c r="X21" s="85"/>
      <c r="Y21" s="85">
        <f>P21-G21</f>
        <v>0.15</v>
      </c>
      <c r="Z21" s="85"/>
      <c r="AA21" s="85"/>
      <c r="AB21" s="85">
        <f>R21-I21</f>
        <v>0</v>
      </c>
      <c r="AC21" s="85">
        <f t="shared" si="18"/>
        <v>0.15</v>
      </c>
      <c r="AD21" s="86">
        <f t="shared" si="19"/>
        <v>223500</v>
      </c>
      <c r="AE21" s="84" t="s">
        <v>211</v>
      </c>
    </row>
    <row r="22" spans="1:31" ht="35.25" customHeight="1" x14ac:dyDescent="0.25">
      <c r="A22" s="96">
        <v>7</v>
      </c>
      <c r="B22" s="77" t="s">
        <v>212</v>
      </c>
      <c r="C22" s="79"/>
      <c r="D22" s="148">
        <v>2.67</v>
      </c>
      <c r="E22" s="80"/>
      <c r="F22" s="80">
        <v>0.35</v>
      </c>
      <c r="G22" s="80"/>
      <c r="H22" s="81"/>
      <c r="I22" s="80">
        <f t="shared" si="20"/>
        <v>0.755</v>
      </c>
      <c r="J22" s="80">
        <f t="shared" si="13"/>
        <v>3.7749999999999999</v>
      </c>
      <c r="K22" s="76">
        <f t="shared" si="14"/>
        <v>5624750</v>
      </c>
      <c r="L22" s="82"/>
      <c r="M22" s="88">
        <v>2.67</v>
      </c>
      <c r="N22" s="80"/>
      <c r="O22" s="80">
        <v>0.35</v>
      </c>
      <c r="P22" s="80">
        <f t="shared" si="21"/>
        <v>0.151</v>
      </c>
      <c r="Q22" s="81"/>
      <c r="R22" s="80">
        <f t="shared" si="22"/>
        <v>0.755</v>
      </c>
      <c r="S22" s="64">
        <f t="shared" si="15"/>
        <v>3.9260000000000002</v>
      </c>
      <c r="T22" s="83">
        <f t="shared" si="16"/>
        <v>5849740</v>
      </c>
      <c r="U22" s="60" t="s">
        <v>34</v>
      </c>
      <c r="V22" s="85">
        <f t="shared" si="12"/>
        <v>0</v>
      </c>
      <c r="W22" s="85"/>
      <c r="X22" s="85"/>
      <c r="Y22" s="85">
        <f>P22-G22</f>
        <v>0.151</v>
      </c>
      <c r="Z22" s="85"/>
      <c r="AA22" s="85"/>
      <c r="AB22" s="85"/>
      <c r="AC22" s="85">
        <f t="shared" si="18"/>
        <v>0.151</v>
      </c>
      <c r="AD22" s="86">
        <f t="shared" si="19"/>
        <v>224990</v>
      </c>
      <c r="AE22" s="84" t="s">
        <v>208</v>
      </c>
    </row>
    <row r="23" spans="1:31" ht="39" customHeight="1" x14ac:dyDescent="0.25">
      <c r="A23" s="96">
        <v>8</v>
      </c>
      <c r="B23" s="77" t="s">
        <v>213</v>
      </c>
      <c r="C23" s="79"/>
      <c r="D23" s="148">
        <v>2.67</v>
      </c>
      <c r="E23" s="80"/>
      <c r="F23" s="80"/>
      <c r="G23" s="80"/>
      <c r="H23" s="81"/>
      <c r="I23" s="80">
        <f t="shared" si="20"/>
        <v>0.66749999999999998</v>
      </c>
      <c r="J23" s="80">
        <f t="shared" si="13"/>
        <v>3.3374999999999999</v>
      </c>
      <c r="K23" s="76">
        <f t="shared" si="14"/>
        <v>4972875</v>
      </c>
      <c r="L23" s="82"/>
      <c r="M23" s="88">
        <v>2.67</v>
      </c>
      <c r="N23" s="80"/>
      <c r="O23" s="80"/>
      <c r="P23" s="80">
        <f t="shared" si="21"/>
        <v>0.13350000000000001</v>
      </c>
      <c r="Q23" s="81"/>
      <c r="R23" s="80">
        <f t="shared" si="22"/>
        <v>0.66749999999999998</v>
      </c>
      <c r="S23" s="64">
        <f t="shared" si="15"/>
        <v>3.4710000000000001</v>
      </c>
      <c r="T23" s="83">
        <f t="shared" si="16"/>
        <v>5171790</v>
      </c>
      <c r="U23" s="60" t="s">
        <v>34</v>
      </c>
      <c r="V23" s="85">
        <f t="shared" si="12"/>
        <v>0</v>
      </c>
      <c r="W23" s="85"/>
      <c r="X23" s="85">
        <f>O23</f>
        <v>0</v>
      </c>
      <c r="Y23" s="85">
        <f>P23-G23</f>
        <v>0.13350000000000001</v>
      </c>
      <c r="Z23" s="85"/>
      <c r="AA23" s="85"/>
      <c r="AB23" s="85"/>
      <c r="AC23" s="85">
        <f t="shared" si="18"/>
        <v>0.13350000000000001</v>
      </c>
      <c r="AD23" s="86">
        <f t="shared" si="19"/>
        <v>198915</v>
      </c>
      <c r="AE23" s="84" t="s">
        <v>211</v>
      </c>
    </row>
    <row r="24" spans="1:31" ht="39" customHeight="1" x14ac:dyDescent="0.25">
      <c r="A24" s="96">
        <v>9</v>
      </c>
      <c r="B24" s="77" t="s">
        <v>214</v>
      </c>
      <c r="C24" s="79"/>
      <c r="D24" s="148">
        <v>2.67</v>
      </c>
      <c r="E24" s="80"/>
      <c r="F24" s="80">
        <v>0.25</v>
      </c>
      <c r="G24" s="80"/>
      <c r="H24" s="81"/>
      <c r="I24" s="80">
        <f t="shared" ref="I24:I27" si="23">ROUND((D24+E24+F24)*25/100,4)</f>
        <v>0.73</v>
      </c>
      <c r="J24" s="80">
        <f t="shared" si="13"/>
        <v>3.65</v>
      </c>
      <c r="K24" s="76">
        <f t="shared" si="14"/>
        <v>5438500</v>
      </c>
      <c r="L24" s="82"/>
      <c r="M24" s="88">
        <v>2.67</v>
      </c>
      <c r="N24" s="80"/>
      <c r="O24" s="80">
        <v>0.25</v>
      </c>
      <c r="P24" s="80">
        <f>ROUND((M24+N24+O24)*5/100,4)</f>
        <v>0.14599999999999999</v>
      </c>
      <c r="Q24" s="81"/>
      <c r="R24" s="80">
        <f t="shared" ref="R24:R25" si="24">ROUND((M24+N24+O24)*25/100,4)</f>
        <v>0.73</v>
      </c>
      <c r="S24" s="64">
        <f t="shared" si="15"/>
        <v>3.7959999999999998</v>
      </c>
      <c r="T24" s="83">
        <f t="shared" si="16"/>
        <v>5656040</v>
      </c>
      <c r="U24" s="60" t="s">
        <v>34</v>
      </c>
      <c r="V24" s="85">
        <v>0</v>
      </c>
      <c r="W24" s="85"/>
      <c r="X24" s="85"/>
      <c r="Y24" s="85">
        <f t="shared" ref="Y24:Y25" si="25">P24-G24</f>
        <v>0.14599999999999999</v>
      </c>
      <c r="Z24" s="85"/>
      <c r="AA24" s="85"/>
      <c r="AB24" s="85"/>
      <c r="AC24" s="85">
        <f t="shared" si="18"/>
        <v>0.14599999999999999</v>
      </c>
      <c r="AD24" s="86">
        <f t="shared" si="19"/>
        <v>217540</v>
      </c>
      <c r="AE24" s="84" t="s">
        <v>208</v>
      </c>
    </row>
    <row r="25" spans="1:31" ht="39" customHeight="1" x14ac:dyDescent="0.25">
      <c r="A25" s="96">
        <v>10</v>
      </c>
      <c r="B25" s="77" t="s">
        <v>215</v>
      </c>
      <c r="C25" s="79"/>
      <c r="D25" s="148">
        <v>2.67</v>
      </c>
      <c r="E25" s="80"/>
      <c r="F25" s="80"/>
      <c r="G25" s="80"/>
      <c r="H25" s="81"/>
      <c r="I25" s="80">
        <f t="shared" si="23"/>
        <v>0.66749999999999998</v>
      </c>
      <c r="J25" s="80">
        <f t="shared" si="13"/>
        <v>3.3374999999999999</v>
      </c>
      <c r="K25" s="76">
        <f t="shared" si="14"/>
        <v>4972875</v>
      </c>
      <c r="L25" s="82"/>
      <c r="M25" s="88">
        <v>2.67</v>
      </c>
      <c r="N25" s="80"/>
      <c r="O25" s="80"/>
      <c r="P25" s="80">
        <f>ROUND((M25+N25+O25)*5/100,4)</f>
        <v>0.13350000000000001</v>
      </c>
      <c r="Q25" s="81"/>
      <c r="R25" s="80">
        <f t="shared" si="24"/>
        <v>0.66749999999999998</v>
      </c>
      <c r="S25" s="64">
        <f t="shared" si="15"/>
        <v>3.4710000000000001</v>
      </c>
      <c r="T25" s="83">
        <f t="shared" si="16"/>
        <v>5171790</v>
      </c>
      <c r="U25" s="60" t="s">
        <v>34</v>
      </c>
      <c r="V25" s="85">
        <v>0</v>
      </c>
      <c r="W25" s="85"/>
      <c r="X25" s="85"/>
      <c r="Y25" s="85">
        <f t="shared" si="25"/>
        <v>0.13350000000000001</v>
      </c>
      <c r="Z25" s="85"/>
      <c r="AA25" s="85"/>
      <c r="AB25" s="85"/>
      <c r="AC25" s="85">
        <f t="shared" si="18"/>
        <v>0.13350000000000001</v>
      </c>
      <c r="AD25" s="86">
        <f t="shared" si="19"/>
        <v>198915</v>
      </c>
      <c r="AE25" s="84" t="s">
        <v>208</v>
      </c>
    </row>
    <row r="26" spans="1:31" ht="39" customHeight="1" x14ac:dyDescent="0.25">
      <c r="A26" s="96">
        <v>11</v>
      </c>
      <c r="B26" s="77" t="s">
        <v>218</v>
      </c>
      <c r="C26" s="79"/>
      <c r="D26" s="148">
        <v>1.9890000000000001</v>
      </c>
      <c r="E26" s="80"/>
      <c r="F26" s="80"/>
      <c r="G26" s="80"/>
      <c r="H26" s="81"/>
      <c r="I26" s="80"/>
      <c r="J26" s="80">
        <f t="shared" si="13"/>
        <v>1.9890000000000001</v>
      </c>
      <c r="K26" s="76">
        <f t="shared" si="14"/>
        <v>2963610</v>
      </c>
      <c r="L26" s="82"/>
      <c r="M26" s="88">
        <v>1.9890000000000001</v>
      </c>
      <c r="N26" s="80"/>
      <c r="O26" s="80"/>
      <c r="P26" s="80"/>
      <c r="Q26" s="81">
        <v>0.45</v>
      </c>
      <c r="R26" s="80"/>
      <c r="S26" s="64">
        <f t="shared" si="15"/>
        <v>2.4390000000000001</v>
      </c>
      <c r="T26" s="83">
        <f t="shared" si="16"/>
        <v>3634110</v>
      </c>
      <c r="U26" s="60" t="s">
        <v>219</v>
      </c>
      <c r="V26" s="85">
        <f>M26-D26</f>
        <v>0</v>
      </c>
      <c r="W26" s="85"/>
      <c r="X26" s="85"/>
      <c r="Y26" s="85">
        <v>0</v>
      </c>
      <c r="Z26" s="85"/>
      <c r="AA26" s="85">
        <f>Q26</f>
        <v>0.45</v>
      </c>
      <c r="AB26" s="85">
        <f>R26-I26</f>
        <v>0</v>
      </c>
      <c r="AC26" s="85">
        <f t="shared" si="18"/>
        <v>0.45</v>
      </c>
      <c r="AD26" s="86">
        <f t="shared" si="19"/>
        <v>670500</v>
      </c>
      <c r="AE26" s="84" t="s">
        <v>220</v>
      </c>
    </row>
    <row r="27" spans="1:31" ht="39" customHeight="1" x14ac:dyDescent="0.25">
      <c r="A27" s="96">
        <v>12</v>
      </c>
      <c r="B27" s="77" t="s">
        <v>222</v>
      </c>
      <c r="C27" s="79"/>
      <c r="D27" s="148">
        <v>0</v>
      </c>
      <c r="E27" s="80"/>
      <c r="F27" s="80"/>
      <c r="G27" s="80"/>
      <c r="H27" s="81"/>
      <c r="I27" s="80">
        <f t="shared" si="23"/>
        <v>0</v>
      </c>
      <c r="J27" s="80">
        <f t="shared" si="13"/>
        <v>0</v>
      </c>
      <c r="K27" s="76">
        <f t="shared" si="14"/>
        <v>0</v>
      </c>
      <c r="L27" s="82"/>
      <c r="M27" s="88">
        <v>3.03</v>
      </c>
      <c r="N27" s="80"/>
      <c r="O27" s="80"/>
      <c r="P27" s="80"/>
      <c r="Q27" s="81"/>
      <c r="R27" s="80"/>
      <c r="S27" s="64">
        <f t="shared" si="15"/>
        <v>3.03</v>
      </c>
      <c r="T27" s="83">
        <f t="shared" si="16"/>
        <v>4514700</v>
      </c>
      <c r="U27" s="60" t="s">
        <v>82</v>
      </c>
      <c r="V27" s="85">
        <f>M27-D27</f>
        <v>3.03</v>
      </c>
      <c r="W27" s="85"/>
      <c r="X27" s="85"/>
      <c r="Y27" s="85">
        <v>0</v>
      </c>
      <c r="Z27" s="85"/>
      <c r="AA27" s="85"/>
      <c r="AB27" s="85">
        <f>R27-I27</f>
        <v>0</v>
      </c>
      <c r="AC27" s="85">
        <f t="shared" si="18"/>
        <v>3.03</v>
      </c>
      <c r="AD27" s="86">
        <f t="shared" si="19"/>
        <v>4514700</v>
      </c>
      <c r="AE27" s="84" t="s">
        <v>223</v>
      </c>
    </row>
    <row r="28" spans="1:31" ht="22.5" customHeight="1" x14ac:dyDescent="0.25">
      <c r="A28" s="34" t="s">
        <v>36</v>
      </c>
      <c r="B28" s="66"/>
      <c r="C28" s="63"/>
      <c r="D28" s="73">
        <f t="shared" ref="D28:AD28" si="26">D29+D31</f>
        <v>14.31</v>
      </c>
      <c r="E28" s="68">
        <f t="shared" si="26"/>
        <v>0.59760000000000002</v>
      </c>
      <c r="F28" s="73">
        <f t="shared" si="26"/>
        <v>0.25</v>
      </c>
      <c r="G28" s="68">
        <f t="shared" si="26"/>
        <v>2.3111999999999999</v>
      </c>
      <c r="H28" s="73">
        <f t="shared" si="26"/>
        <v>0.45</v>
      </c>
      <c r="I28" s="68">
        <f t="shared" si="26"/>
        <v>3.7894000000000001</v>
      </c>
      <c r="J28" s="68">
        <f t="shared" si="26"/>
        <v>21.708199999999998</v>
      </c>
      <c r="K28" s="67">
        <f t="shared" si="26"/>
        <v>32300218</v>
      </c>
      <c r="L28" s="73">
        <f t="shared" si="26"/>
        <v>0</v>
      </c>
      <c r="M28" s="73">
        <f t="shared" si="26"/>
        <v>3.33</v>
      </c>
      <c r="N28" s="68">
        <f t="shared" si="26"/>
        <v>0</v>
      </c>
      <c r="O28" s="73">
        <f t="shared" si="26"/>
        <v>0</v>
      </c>
      <c r="P28" s="68">
        <f t="shared" si="26"/>
        <v>0.26640000000000003</v>
      </c>
      <c r="Q28" s="73">
        <f t="shared" si="26"/>
        <v>0</v>
      </c>
      <c r="R28" s="68">
        <f t="shared" si="26"/>
        <v>0.83250000000000002</v>
      </c>
      <c r="S28" s="68">
        <f t="shared" si="26"/>
        <v>4.4289000000000005</v>
      </c>
      <c r="T28" s="68">
        <f t="shared" si="26"/>
        <v>6599061.0000000009</v>
      </c>
      <c r="U28" s="67">
        <f t="shared" si="26"/>
        <v>0</v>
      </c>
      <c r="V28" s="73">
        <f t="shared" si="26"/>
        <v>10.98</v>
      </c>
      <c r="W28" s="68">
        <f t="shared" si="26"/>
        <v>0.59760000000000002</v>
      </c>
      <c r="X28" s="73">
        <f t="shared" si="26"/>
        <v>0.25</v>
      </c>
      <c r="Y28" s="68">
        <f t="shared" si="26"/>
        <v>2.0448</v>
      </c>
      <c r="Z28" s="73">
        <f t="shared" si="26"/>
        <v>0</v>
      </c>
      <c r="AA28" s="73">
        <f t="shared" si="26"/>
        <v>0.45</v>
      </c>
      <c r="AB28" s="68">
        <f t="shared" si="26"/>
        <v>2.2069000000000001</v>
      </c>
      <c r="AC28" s="68">
        <f>AC29+AC31</f>
        <v>16.529299999999999</v>
      </c>
      <c r="AD28" s="67">
        <f t="shared" si="26"/>
        <v>24583657</v>
      </c>
      <c r="AE28" s="72"/>
    </row>
    <row r="29" spans="1:31" ht="23.25" customHeight="1" x14ac:dyDescent="0.25">
      <c r="A29" s="59"/>
      <c r="B29" s="214" t="s">
        <v>29</v>
      </c>
      <c r="C29" s="60"/>
      <c r="D29" s="74">
        <f t="shared" ref="D29:AE29" si="27">SUM(D30:D30)</f>
        <v>4.9800000000000004</v>
      </c>
      <c r="E29" s="78">
        <f t="shared" si="27"/>
        <v>0.59760000000000002</v>
      </c>
      <c r="F29" s="74">
        <f t="shared" si="27"/>
        <v>0</v>
      </c>
      <c r="G29" s="78">
        <f t="shared" si="27"/>
        <v>1.7847999999999999</v>
      </c>
      <c r="H29" s="74">
        <f t="shared" si="27"/>
        <v>0</v>
      </c>
      <c r="I29" s="78">
        <f t="shared" si="27"/>
        <v>1.3944000000000001</v>
      </c>
      <c r="J29" s="78">
        <f t="shared" si="27"/>
        <v>8.7568000000000001</v>
      </c>
      <c r="K29" s="75">
        <f t="shared" si="27"/>
        <v>13047632</v>
      </c>
      <c r="L29" s="74">
        <f t="shared" si="27"/>
        <v>0</v>
      </c>
      <c r="M29" s="74">
        <f t="shared" si="27"/>
        <v>0</v>
      </c>
      <c r="N29" s="78">
        <f t="shared" si="27"/>
        <v>0</v>
      </c>
      <c r="O29" s="74">
        <f t="shared" si="27"/>
        <v>0</v>
      </c>
      <c r="P29" s="78">
        <f t="shared" si="27"/>
        <v>0</v>
      </c>
      <c r="Q29" s="74">
        <f t="shared" si="27"/>
        <v>0</v>
      </c>
      <c r="R29" s="78">
        <f t="shared" si="27"/>
        <v>0</v>
      </c>
      <c r="S29" s="78">
        <f t="shared" si="27"/>
        <v>0</v>
      </c>
      <c r="T29" s="74">
        <f t="shared" si="27"/>
        <v>0</v>
      </c>
      <c r="U29" s="67">
        <f t="shared" si="27"/>
        <v>0</v>
      </c>
      <c r="V29" s="74">
        <f t="shared" si="27"/>
        <v>4.9800000000000004</v>
      </c>
      <c r="W29" s="74">
        <f t="shared" si="27"/>
        <v>0.59760000000000002</v>
      </c>
      <c r="X29" s="74">
        <f t="shared" si="27"/>
        <v>0</v>
      </c>
      <c r="Y29" s="78">
        <f t="shared" si="27"/>
        <v>1.7847999999999999</v>
      </c>
      <c r="Z29" s="74">
        <f t="shared" si="27"/>
        <v>0</v>
      </c>
      <c r="AA29" s="74">
        <f t="shared" si="27"/>
        <v>0</v>
      </c>
      <c r="AB29" s="78">
        <f t="shared" si="27"/>
        <v>1.3944000000000001</v>
      </c>
      <c r="AC29" s="78">
        <f t="shared" si="27"/>
        <v>8.7568000000000001</v>
      </c>
      <c r="AD29" s="75">
        <f t="shared" si="27"/>
        <v>13047632</v>
      </c>
      <c r="AE29" s="74">
        <f t="shared" si="27"/>
        <v>0</v>
      </c>
    </row>
    <row r="30" spans="1:31" ht="28.5" customHeight="1" x14ac:dyDescent="0.25">
      <c r="A30" s="207">
        <v>1</v>
      </c>
      <c r="B30" s="215" t="s">
        <v>32</v>
      </c>
      <c r="C30" s="208"/>
      <c r="D30" s="209">
        <v>4.9800000000000004</v>
      </c>
      <c r="E30" s="182">
        <f>ROUND(D30*12/100,4)</f>
        <v>0.59760000000000002</v>
      </c>
      <c r="F30" s="182"/>
      <c r="G30" s="182">
        <f>ROUND((D30+E30+F30)*32/100,4)</f>
        <v>1.7847999999999999</v>
      </c>
      <c r="H30" s="182"/>
      <c r="I30" s="182">
        <f>ROUND((D30+E30+F30)*25/100,4)</f>
        <v>1.3944000000000001</v>
      </c>
      <c r="J30" s="182">
        <f>ROUND(SUM(D30:I30),4)</f>
        <v>8.7568000000000001</v>
      </c>
      <c r="K30" s="183">
        <f>J30*$B$6</f>
        <v>13047632</v>
      </c>
      <c r="L30" s="182"/>
      <c r="M30" s="210"/>
      <c r="N30" s="182"/>
      <c r="O30" s="182"/>
      <c r="P30" s="182"/>
      <c r="Q30" s="182"/>
      <c r="R30" s="182"/>
      <c r="S30" s="211"/>
      <c r="T30" s="183"/>
      <c r="U30" s="60" t="s">
        <v>34</v>
      </c>
      <c r="V30" s="184">
        <f>D30</f>
        <v>4.9800000000000004</v>
      </c>
      <c r="W30" s="184">
        <f>E30</f>
        <v>0.59760000000000002</v>
      </c>
      <c r="X30" s="184"/>
      <c r="Y30" s="184">
        <f>G30</f>
        <v>1.7847999999999999</v>
      </c>
      <c r="Z30" s="184"/>
      <c r="AA30" s="184"/>
      <c r="AB30" s="184">
        <f>I30</f>
        <v>1.3944000000000001</v>
      </c>
      <c r="AC30" s="184">
        <f>SUM(V30:AB30)</f>
        <v>8.7568000000000001</v>
      </c>
      <c r="AD30" s="185">
        <f>AC30*$B$6</f>
        <v>13047632</v>
      </c>
      <c r="AE30" s="212" t="s">
        <v>196</v>
      </c>
    </row>
    <row r="31" spans="1:31" ht="48" customHeight="1" x14ac:dyDescent="0.25">
      <c r="A31" s="192"/>
      <c r="B31" s="193" t="s">
        <v>33</v>
      </c>
      <c r="C31" s="193"/>
      <c r="D31" s="194">
        <f>SUM(D32:D35)</f>
        <v>9.33</v>
      </c>
      <c r="E31" s="194">
        <f t="shared" ref="E31:AD31" si="28">SUM(E32:E35)</f>
        <v>0</v>
      </c>
      <c r="F31" s="194">
        <f t="shared" si="28"/>
        <v>0.25</v>
      </c>
      <c r="G31" s="195">
        <f t="shared" si="28"/>
        <v>0.52639999999999998</v>
      </c>
      <c r="H31" s="194">
        <f t="shared" si="28"/>
        <v>0.45</v>
      </c>
      <c r="I31" s="195">
        <f t="shared" si="28"/>
        <v>2.395</v>
      </c>
      <c r="J31" s="195">
        <f t="shared" si="28"/>
        <v>12.9514</v>
      </c>
      <c r="K31" s="196">
        <f t="shared" si="28"/>
        <v>19252586</v>
      </c>
      <c r="L31" s="194">
        <f t="shared" si="28"/>
        <v>0</v>
      </c>
      <c r="M31" s="194">
        <f t="shared" si="28"/>
        <v>3.33</v>
      </c>
      <c r="N31" s="194">
        <f t="shared" si="28"/>
        <v>0</v>
      </c>
      <c r="O31" s="194">
        <f t="shared" si="28"/>
        <v>0</v>
      </c>
      <c r="P31" s="195">
        <f t="shared" si="28"/>
        <v>0.26640000000000003</v>
      </c>
      <c r="Q31" s="194">
        <f t="shared" si="28"/>
        <v>0</v>
      </c>
      <c r="R31" s="195">
        <f t="shared" si="28"/>
        <v>0.83250000000000002</v>
      </c>
      <c r="S31" s="195">
        <f t="shared" si="28"/>
        <v>4.4289000000000005</v>
      </c>
      <c r="T31" s="196">
        <f t="shared" si="28"/>
        <v>6599061.0000000009</v>
      </c>
      <c r="U31" s="194">
        <f t="shared" si="28"/>
        <v>0</v>
      </c>
      <c r="V31" s="194">
        <f t="shared" si="28"/>
        <v>6</v>
      </c>
      <c r="W31" s="194">
        <f t="shared" si="28"/>
        <v>0</v>
      </c>
      <c r="X31" s="194">
        <f t="shared" si="28"/>
        <v>0.25</v>
      </c>
      <c r="Y31" s="195">
        <f t="shared" si="28"/>
        <v>0.25999999999999995</v>
      </c>
      <c r="Z31" s="194">
        <f t="shared" si="28"/>
        <v>0</v>
      </c>
      <c r="AA31" s="194">
        <f t="shared" si="28"/>
        <v>0.45</v>
      </c>
      <c r="AB31" s="195">
        <f t="shared" si="28"/>
        <v>0.8125</v>
      </c>
      <c r="AC31" s="195">
        <f t="shared" si="28"/>
        <v>7.7725</v>
      </c>
      <c r="AD31" s="196">
        <f t="shared" si="28"/>
        <v>11536025</v>
      </c>
      <c r="AE31" s="110"/>
    </row>
    <row r="32" spans="1:31" ht="45.75" customHeight="1" x14ac:dyDescent="0.25">
      <c r="A32" s="172">
        <v>1</v>
      </c>
      <c r="B32" s="160" t="s">
        <v>197</v>
      </c>
      <c r="C32" s="160"/>
      <c r="D32" s="174">
        <v>3</v>
      </c>
      <c r="E32" s="164"/>
      <c r="F32" s="164"/>
      <c r="G32" s="162">
        <f>ROUND(D32*8/100,4)</f>
        <v>0.24</v>
      </c>
      <c r="H32" s="173"/>
      <c r="I32" s="162">
        <f>ROUND((D32+E32+F32)*25/100,4)</f>
        <v>0.75</v>
      </c>
      <c r="J32" s="162">
        <f>ROUND(SUM(D32:I32),4)</f>
        <v>3.99</v>
      </c>
      <c r="K32" s="163">
        <f>J32*$B$6</f>
        <v>5945100</v>
      </c>
      <c r="L32" s="164"/>
      <c r="M32" s="164"/>
      <c r="N32" s="164"/>
      <c r="O32" s="164"/>
      <c r="P32" s="164"/>
      <c r="Q32" s="173"/>
      <c r="R32" s="162"/>
      <c r="S32" s="162"/>
      <c r="T32" s="163"/>
      <c r="U32" s="166" t="s">
        <v>34</v>
      </c>
      <c r="V32" s="174">
        <f>D32</f>
        <v>3</v>
      </c>
      <c r="W32" s="164"/>
      <c r="X32" s="164"/>
      <c r="Y32" s="162">
        <f>G32</f>
        <v>0.24</v>
      </c>
      <c r="Z32" s="164"/>
      <c r="AA32" s="164"/>
      <c r="AB32" s="162"/>
      <c r="AC32" s="162">
        <f>SUM(V32:AB32)</f>
        <v>3.24</v>
      </c>
      <c r="AD32" s="163">
        <f>AC32*$B$6</f>
        <v>4827600</v>
      </c>
      <c r="AE32" s="175" t="s">
        <v>199</v>
      </c>
    </row>
    <row r="33" spans="1:31" ht="41.25" customHeight="1" x14ac:dyDescent="0.25">
      <c r="A33" s="176">
        <v>2</v>
      </c>
      <c r="B33" s="136" t="s">
        <v>198</v>
      </c>
      <c r="C33" s="177"/>
      <c r="D33" s="224">
        <v>3</v>
      </c>
      <c r="E33" s="225"/>
      <c r="F33" s="226"/>
      <c r="G33" s="80"/>
      <c r="H33" s="227"/>
      <c r="I33" s="80">
        <f>ROUND((D33+E33+F33)*25/100,4)</f>
        <v>0.75</v>
      </c>
      <c r="J33" s="80">
        <f>ROUND(SUM(D33:I33),4)</f>
        <v>3.75</v>
      </c>
      <c r="K33" s="76">
        <f>J33*$B$6</f>
        <v>5587500</v>
      </c>
      <c r="L33" s="228"/>
      <c r="M33" s="229"/>
      <c r="N33" s="229"/>
      <c r="O33" s="230"/>
      <c r="P33" s="230"/>
      <c r="Q33" s="231"/>
      <c r="R33" s="232"/>
      <c r="S33" s="232"/>
      <c r="T33" s="232"/>
      <c r="U33" s="177" t="s">
        <v>34</v>
      </c>
      <c r="V33" s="233">
        <f>D33</f>
        <v>3</v>
      </c>
      <c r="W33" s="234"/>
      <c r="X33" s="140"/>
      <c r="Y33" s="235">
        <f>G33</f>
        <v>0</v>
      </c>
      <c r="Z33" s="136"/>
      <c r="AA33" s="136"/>
      <c r="AB33" s="236">
        <f>I33</f>
        <v>0.75</v>
      </c>
      <c r="AC33" s="80">
        <f>SUM(V33:AB33)</f>
        <v>3.75</v>
      </c>
      <c r="AD33" s="76">
        <f>AC33*$B$6</f>
        <v>5587500</v>
      </c>
      <c r="AE33" s="140" t="s">
        <v>200</v>
      </c>
    </row>
    <row r="34" spans="1:31" ht="41.25" customHeight="1" x14ac:dyDescent="0.25">
      <c r="A34" s="176">
        <v>3</v>
      </c>
      <c r="B34" s="136" t="s">
        <v>111</v>
      </c>
      <c r="C34" s="177"/>
      <c r="D34" s="224"/>
      <c r="E34" s="225"/>
      <c r="F34" s="226"/>
      <c r="G34" s="80">
        <f t="shared" ref="G34" si="29">ROUND(D34*8/100,4)</f>
        <v>0</v>
      </c>
      <c r="H34" s="227">
        <v>0.45</v>
      </c>
      <c r="I34" s="80"/>
      <c r="J34" s="80">
        <f>ROUND(SUM(D34:I34),4)</f>
        <v>0.45</v>
      </c>
      <c r="K34" s="76">
        <f>H34*1390000</f>
        <v>625500</v>
      </c>
      <c r="L34" s="228"/>
      <c r="M34" s="229"/>
      <c r="N34" s="229"/>
      <c r="O34" s="230"/>
      <c r="P34" s="230"/>
      <c r="Q34" s="231"/>
      <c r="R34" s="232"/>
      <c r="S34" s="232"/>
      <c r="T34" s="232"/>
      <c r="U34" s="177" t="s">
        <v>34</v>
      </c>
      <c r="V34" s="233"/>
      <c r="W34" s="234"/>
      <c r="X34" s="140"/>
      <c r="Y34" s="235"/>
      <c r="Z34" s="136"/>
      <c r="AA34" s="251">
        <f>H34</f>
        <v>0.45</v>
      </c>
      <c r="AB34" s="236"/>
      <c r="AC34" s="80">
        <f>SUM(V34:AB34)</f>
        <v>0.45</v>
      </c>
      <c r="AD34" s="76">
        <f>AC34*1390000</f>
        <v>625500</v>
      </c>
      <c r="AE34" s="140" t="s">
        <v>221</v>
      </c>
    </row>
    <row r="35" spans="1:31" ht="54" customHeight="1" x14ac:dyDescent="0.25">
      <c r="A35" s="169">
        <v>4</v>
      </c>
      <c r="B35" s="237" t="s">
        <v>224</v>
      </c>
      <c r="C35" s="156"/>
      <c r="D35" s="238">
        <v>3.33</v>
      </c>
      <c r="E35" s="239"/>
      <c r="F35" s="240">
        <v>0.25</v>
      </c>
      <c r="G35" s="152">
        <f>ROUND((D35+E35+F35)*8/100,4)</f>
        <v>0.28639999999999999</v>
      </c>
      <c r="H35" s="241"/>
      <c r="I35" s="152">
        <f>ROUND((D35+E35+F35)*25/100,4)</f>
        <v>0.89500000000000002</v>
      </c>
      <c r="J35" s="152">
        <f>ROUND(SUM(D35:I35),4)</f>
        <v>4.7614000000000001</v>
      </c>
      <c r="K35" s="153">
        <f>J35*$B$6</f>
        <v>7094486</v>
      </c>
      <c r="L35" s="242"/>
      <c r="M35" s="243">
        <v>3.33</v>
      </c>
      <c r="N35" s="244"/>
      <c r="O35" s="245"/>
      <c r="P35" s="245">
        <f>ROUND((M35+N35+O35)*8/100,4)</f>
        <v>0.26640000000000003</v>
      </c>
      <c r="Q35" s="246"/>
      <c r="R35" s="247">
        <f>ROUND((M35+N35+O35)*25/100,4)</f>
        <v>0.83250000000000002</v>
      </c>
      <c r="S35" s="247">
        <f>SUM(M35:R35)</f>
        <v>4.4289000000000005</v>
      </c>
      <c r="T35" s="248">
        <f>S35*$B$6</f>
        <v>6599061.0000000009</v>
      </c>
      <c r="U35" s="156" t="s">
        <v>34</v>
      </c>
      <c r="V35" s="247"/>
      <c r="W35" s="247"/>
      <c r="X35" s="247">
        <f>F35</f>
        <v>0.25</v>
      </c>
      <c r="Y35" s="249">
        <f>G35-P35</f>
        <v>1.9999999999999962E-2</v>
      </c>
      <c r="Z35" s="247"/>
      <c r="AA35" s="247"/>
      <c r="AB35" s="249">
        <f>I35-R35</f>
        <v>6.25E-2</v>
      </c>
      <c r="AC35" s="152">
        <f>SUM(V35:AB35)</f>
        <v>0.33249999999999996</v>
      </c>
      <c r="AD35" s="250">
        <f>AC35*$B$6</f>
        <v>495424.99999999994</v>
      </c>
      <c r="AE35" s="171" t="s">
        <v>225</v>
      </c>
    </row>
    <row r="36" spans="1:31" ht="24" customHeight="1" x14ac:dyDescent="0.25">
      <c r="A36" s="43"/>
      <c r="B36" s="42"/>
      <c r="C36" s="8"/>
      <c r="D36" s="9"/>
      <c r="E36" s="10"/>
      <c r="F36" s="11"/>
      <c r="G36" s="22"/>
      <c r="H36" s="22"/>
      <c r="I36" s="22"/>
      <c r="J36" s="23"/>
      <c r="K36" s="24"/>
      <c r="L36" s="12"/>
      <c r="M36" s="13"/>
      <c r="N36" s="13"/>
      <c r="O36" s="7"/>
      <c r="P36" s="7"/>
      <c r="Q36" s="14"/>
      <c r="R36" s="18"/>
      <c r="S36" s="18"/>
      <c r="T36" s="18"/>
      <c r="U36" s="18"/>
      <c r="V36" s="7"/>
      <c r="W36" s="220"/>
      <c r="X36" s="221"/>
      <c r="Y36" s="42"/>
      <c r="Z36" s="42"/>
      <c r="AA36" s="42"/>
      <c r="AB36" s="42"/>
      <c r="AC36" s="42"/>
      <c r="AD36" s="42"/>
      <c r="AE36" s="18"/>
    </row>
    <row r="37" spans="1:31" ht="15.75" x14ac:dyDescent="0.25">
      <c r="A37" s="43"/>
      <c r="B37" s="42"/>
      <c r="C37" s="8"/>
      <c r="D37" s="9"/>
      <c r="E37" s="10"/>
      <c r="F37" s="11"/>
      <c r="G37" s="22"/>
      <c r="H37" s="22"/>
      <c r="I37" s="22"/>
      <c r="J37" s="23"/>
      <c r="K37" s="24"/>
      <c r="L37" s="12"/>
      <c r="M37" s="13"/>
      <c r="N37" s="13"/>
      <c r="O37" s="7"/>
      <c r="P37" s="7"/>
      <c r="Q37" s="14"/>
      <c r="R37" s="18"/>
      <c r="S37" s="18"/>
      <c r="T37" s="18"/>
      <c r="U37" s="18"/>
      <c r="V37" s="15"/>
      <c r="W37" s="6"/>
      <c r="X37" s="33"/>
      <c r="Y37" s="44"/>
      <c r="Z37" s="44"/>
      <c r="AA37" s="301" t="s">
        <v>227</v>
      </c>
      <c r="AB37" s="301"/>
      <c r="AC37" s="301"/>
      <c r="AD37" s="301"/>
      <c r="AE37" s="301"/>
    </row>
    <row r="38" spans="1:31" ht="15.75" x14ac:dyDescent="0.25">
      <c r="A38" s="43"/>
      <c r="B38" s="291" t="s">
        <v>37</v>
      </c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3"/>
      <c r="W38" s="291" t="s">
        <v>38</v>
      </c>
      <c r="X38" s="291"/>
      <c r="Y38" s="291"/>
      <c r="Z38" s="291"/>
      <c r="AA38" s="302" t="s">
        <v>39</v>
      </c>
      <c r="AB38" s="302"/>
      <c r="AC38" s="302"/>
      <c r="AD38" s="302"/>
      <c r="AE38" s="302"/>
    </row>
    <row r="39" spans="1:31" ht="15.75" x14ac:dyDescent="0.25">
      <c r="A39" s="43"/>
      <c r="B39" s="2"/>
      <c r="C39" s="2"/>
      <c r="D39" s="2"/>
      <c r="E39" s="2"/>
      <c r="F39" s="2"/>
      <c r="G39" s="4"/>
      <c r="H39" s="4"/>
      <c r="I39" s="2"/>
      <c r="J39" s="2"/>
      <c r="K39" s="4"/>
      <c r="L39" s="2"/>
      <c r="M39" s="2"/>
      <c r="N39" s="2"/>
      <c r="O39" s="2"/>
      <c r="P39" s="2"/>
      <c r="Q39" s="2"/>
      <c r="R39" s="2"/>
      <c r="S39" s="217"/>
      <c r="T39" s="217"/>
      <c r="U39" s="217"/>
      <c r="V39" s="25"/>
      <c r="W39" s="217"/>
      <c r="X39" s="216"/>
      <c r="Y39" s="2"/>
      <c r="Z39" s="2"/>
      <c r="AA39" s="2"/>
      <c r="AB39" s="216"/>
      <c r="AC39" s="47"/>
      <c r="AD39" s="47"/>
      <c r="AE39" s="4"/>
    </row>
    <row r="40" spans="1:31" ht="15.75" x14ac:dyDescent="0.25">
      <c r="A40" s="43"/>
      <c r="B40" s="2"/>
      <c r="C40" s="2"/>
      <c r="D40" s="2"/>
      <c r="E40" s="2"/>
      <c r="F40" s="2"/>
      <c r="G40" s="4"/>
      <c r="H40" s="4"/>
      <c r="I40" s="2"/>
      <c r="J40" s="2"/>
      <c r="K40" s="4"/>
      <c r="L40" s="2"/>
      <c r="M40" s="2"/>
      <c r="N40" s="2"/>
      <c r="O40" s="2"/>
      <c r="P40" s="2"/>
      <c r="Q40" s="2"/>
      <c r="R40" s="2"/>
      <c r="S40" s="217"/>
      <c r="T40" s="25"/>
      <c r="U40" s="25"/>
      <c r="V40" s="2"/>
      <c r="W40" s="2"/>
      <c r="X40" s="2"/>
      <c r="Y40" s="48"/>
      <c r="Z40" s="2"/>
      <c r="AA40" s="2"/>
      <c r="AB40" s="2"/>
      <c r="AC40" s="41"/>
      <c r="AD40" s="41"/>
      <c r="AE40" s="3"/>
    </row>
    <row r="41" spans="1:31" ht="15.75" x14ac:dyDescent="0.25">
      <c r="A41" s="43"/>
      <c r="B41" s="2"/>
      <c r="C41" s="2"/>
      <c r="D41" s="2"/>
      <c r="E41" s="2"/>
      <c r="F41" s="2"/>
      <c r="G41" s="4"/>
      <c r="H41" s="4"/>
      <c r="I41" s="2"/>
      <c r="J41" s="2"/>
      <c r="K41" s="4"/>
      <c r="L41" s="2"/>
      <c r="M41" s="2"/>
      <c r="N41" s="2"/>
      <c r="O41" s="2"/>
      <c r="P41" s="2"/>
      <c r="Q41" s="2"/>
      <c r="R41" s="2"/>
      <c r="S41" s="2"/>
      <c r="T41" s="25"/>
      <c r="U41" s="25"/>
      <c r="V41" s="2"/>
      <c r="W41" s="2"/>
      <c r="X41" s="2"/>
      <c r="Y41" s="48"/>
      <c r="Z41" s="2"/>
      <c r="AA41" s="2"/>
      <c r="AB41" s="2"/>
      <c r="AC41" s="41"/>
      <c r="AD41" s="41"/>
      <c r="AE41" s="3"/>
    </row>
    <row r="42" spans="1:31" ht="15.75" x14ac:dyDescent="0.25">
      <c r="A42" s="43"/>
      <c r="B42" s="2"/>
      <c r="C42" s="2"/>
      <c r="D42" s="2"/>
      <c r="E42" s="2"/>
      <c r="F42" s="2"/>
      <c r="G42" s="4"/>
      <c r="H42" s="4"/>
      <c r="I42" s="2"/>
      <c r="J42" s="2"/>
      <c r="K42" s="4"/>
      <c r="L42" s="2"/>
      <c r="M42" s="2"/>
      <c r="N42" s="2"/>
      <c r="O42" s="2"/>
      <c r="P42" s="2"/>
      <c r="Q42" s="2"/>
      <c r="R42" s="2"/>
      <c r="S42" s="2"/>
      <c r="T42" s="25"/>
      <c r="U42" s="25"/>
      <c r="V42" s="2"/>
      <c r="W42" s="2"/>
      <c r="X42" s="2"/>
      <c r="Y42" s="48"/>
      <c r="Z42" s="2"/>
      <c r="AA42" s="2"/>
      <c r="AB42" s="2"/>
      <c r="AC42" s="41"/>
      <c r="AD42" s="41"/>
      <c r="AE42" s="3"/>
    </row>
    <row r="43" spans="1:31" ht="15.75" x14ac:dyDescent="0.25">
      <c r="A43" s="43"/>
      <c r="B43" s="291" t="s">
        <v>40</v>
      </c>
      <c r="C43" s="291"/>
      <c r="D43" s="291"/>
      <c r="E43" s="291"/>
      <c r="F43" s="291"/>
      <c r="G43" s="291"/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"/>
      <c r="W43" s="291" t="s">
        <v>41</v>
      </c>
      <c r="X43" s="291"/>
      <c r="Y43" s="291"/>
      <c r="Z43" s="291"/>
      <c r="AA43" s="291" t="s">
        <v>42</v>
      </c>
      <c r="AB43" s="291"/>
      <c r="AC43" s="291"/>
      <c r="AD43" s="291"/>
      <c r="AE43" s="291"/>
    </row>
    <row r="44" spans="1:31" ht="15.75" x14ac:dyDescent="0.25">
      <c r="A44" s="43"/>
      <c r="B44" s="2"/>
      <c r="C44" s="2"/>
      <c r="D44" s="2"/>
      <c r="E44" s="2"/>
      <c r="F44" s="2"/>
      <c r="G44" s="4"/>
      <c r="H44" s="4"/>
      <c r="I44" s="2"/>
      <c r="J44" s="2"/>
      <c r="K44" s="4"/>
      <c r="L44" s="2"/>
      <c r="M44" s="2"/>
      <c r="N44" s="2"/>
      <c r="O44" s="2"/>
      <c r="P44" s="2"/>
      <c r="Q44" s="2"/>
      <c r="R44" s="2"/>
      <c r="S44" s="2"/>
      <c r="T44" s="25"/>
      <c r="U44" s="25"/>
      <c r="V44" s="2"/>
      <c r="W44" s="6"/>
      <c r="X44" s="33"/>
      <c r="Y44" s="2"/>
      <c r="Z44" s="2"/>
      <c r="AA44" s="2"/>
      <c r="AB44" s="2"/>
      <c r="AC44" s="2"/>
      <c r="AD44" s="2"/>
      <c r="AE44" s="2"/>
    </row>
  </sheetData>
  <mergeCells count="20">
    <mergeCell ref="B43:U43"/>
    <mergeCell ref="W43:Z43"/>
    <mergeCell ref="AA43:AE43"/>
    <mergeCell ref="A7:A8"/>
    <mergeCell ref="B7:B8"/>
    <mergeCell ref="C7:K7"/>
    <mergeCell ref="L7:T7"/>
    <mergeCell ref="U7:U8"/>
    <mergeCell ref="V7:AD7"/>
    <mergeCell ref="AE7:AE8"/>
    <mergeCell ref="AA37:AE37"/>
    <mergeCell ref="B38:U38"/>
    <mergeCell ref="W38:Z38"/>
    <mergeCell ref="AA38:AE38"/>
    <mergeCell ref="A5:AE5"/>
    <mergeCell ref="A1:U1"/>
    <mergeCell ref="AA1:AE1"/>
    <mergeCell ref="A2:U2"/>
    <mergeCell ref="AA2:AE2"/>
    <mergeCell ref="A3:U3"/>
  </mergeCells>
  <pageMargins left="0.31496062992125984" right="0.23622047244094491" top="0.51181102362204722" bottom="0.4724409448818898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topLeftCell="A19" workbookViewId="0">
      <selection activeCell="AA26" sqref="AA26:AE26"/>
    </sheetView>
  </sheetViews>
  <sheetFormatPr defaultRowHeight="15" x14ac:dyDescent="0.25"/>
  <cols>
    <col min="1" max="1" width="4.5703125" style="1" customWidth="1"/>
    <col min="2" max="2" width="24.5703125" style="1" customWidth="1"/>
    <col min="3" max="8" width="9.140625" style="1" hidden="1" customWidth="1"/>
    <col min="9" max="10" width="10.7109375" style="1" hidden="1" customWidth="1"/>
    <col min="11" max="11" width="15.5703125" style="1" hidden="1" customWidth="1"/>
    <col min="12" max="12" width="9.140625" style="1" hidden="1" customWidth="1"/>
    <col min="13" max="13" width="10" style="1" hidden="1" customWidth="1"/>
    <col min="14" max="14" width="9.5703125" style="1" hidden="1" customWidth="1"/>
    <col min="15" max="17" width="9.140625" style="1" hidden="1" customWidth="1"/>
    <col min="18" max="18" width="11.5703125" style="1" hidden="1" customWidth="1"/>
    <col min="19" max="19" width="10.5703125" style="1" hidden="1" customWidth="1"/>
    <col min="20" max="20" width="12.7109375" style="1" hidden="1" customWidth="1"/>
    <col min="21" max="21" width="11.5703125" style="1" customWidth="1"/>
    <col min="22" max="22" width="9.42578125" style="1" customWidth="1"/>
    <col min="23" max="23" width="8.42578125" style="1" customWidth="1"/>
    <col min="24" max="24" width="9" style="1" customWidth="1"/>
    <col min="25" max="25" width="10" style="1" customWidth="1"/>
    <col min="26" max="26" width="7.7109375" style="1" customWidth="1"/>
    <col min="27" max="27" width="8.5703125" style="1" customWidth="1"/>
    <col min="28" max="28" width="8.42578125" style="1" customWidth="1"/>
    <col min="29" max="29" width="10.42578125" style="1" customWidth="1"/>
    <col min="30" max="30" width="14.42578125" style="1" customWidth="1"/>
    <col min="31" max="31" width="13.425781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228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1490000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229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48.7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226</v>
      </c>
      <c r="AE9" s="27" t="s">
        <v>27</v>
      </c>
    </row>
    <row r="10" spans="1:31" ht="30.75" customHeight="1" x14ac:dyDescent="0.25">
      <c r="A10" s="34" t="s">
        <v>28</v>
      </c>
      <c r="B10" s="32"/>
      <c r="C10" s="31"/>
      <c r="D10" s="49">
        <f t="shared" ref="D10:AD10" si="0">D11+D13</f>
        <v>21.44</v>
      </c>
      <c r="E10" s="50">
        <f t="shared" si="0"/>
        <v>0.38279999999999997</v>
      </c>
      <c r="F10" s="49">
        <f t="shared" si="0"/>
        <v>0</v>
      </c>
      <c r="G10" s="50">
        <f t="shared" si="0"/>
        <v>1.4232</v>
      </c>
      <c r="H10" s="49">
        <f t="shared" si="0"/>
        <v>0</v>
      </c>
      <c r="I10" s="50">
        <f t="shared" si="0"/>
        <v>2.91</v>
      </c>
      <c r="J10" s="50">
        <f t="shared" si="0"/>
        <v>26.155999999999999</v>
      </c>
      <c r="K10" s="62">
        <f t="shared" si="0"/>
        <v>38972440</v>
      </c>
      <c r="L10" s="49">
        <f t="shared" si="0"/>
        <v>0</v>
      </c>
      <c r="M10" s="49">
        <f t="shared" si="0"/>
        <v>23.34</v>
      </c>
      <c r="N10" s="50">
        <f t="shared" si="0"/>
        <v>0.41760000000000003</v>
      </c>
      <c r="O10" s="49">
        <f t="shared" si="0"/>
        <v>0</v>
      </c>
      <c r="P10" s="50">
        <f t="shared" si="0"/>
        <v>1.5396000000000001</v>
      </c>
      <c r="Q10" s="49">
        <f t="shared" si="0"/>
        <v>0.1</v>
      </c>
      <c r="R10" s="50">
        <f t="shared" si="0"/>
        <v>2.91</v>
      </c>
      <c r="S10" s="50">
        <f t="shared" si="0"/>
        <v>28.307199999999998</v>
      </c>
      <c r="T10" s="62">
        <f t="shared" si="0"/>
        <v>42177728</v>
      </c>
      <c r="U10" s="49">
        <f t="shared" si="0"/>
        <v>0</v>
      </c>
      <c r="V10" s="49">
        <f t="shared" si="0"/>
        <v>1.9</v>
      </c>
      <c r="W10" s="50">
        <f t="shared" si="0"/>
        <v>3.4800000000000053E-2</v>
      </c>
      <c r="X10" s="49">
        <f t="shared" si="0"/>
        <v>0</v>
      </c>
      <c r="Y10" s="50">
        <f t="shared" si="0"/>
        <v>0.11639999999999995</v>
      </c>
      <c r="Z10" s="49">
        <f t="shared" si="0"/>
        <v>0</v>
      </c>
      <c r="AA10" s="49">
        <f t="shared" si="0"/>
        <v>0.1</v>
      </c>
      <c r="AB10" s="50">
        <f t="shared" si="0"/>
        <v>0</v>
      </c>
      <c r="AC10" s="50">
        <f t="shared" si="0"/>
        <v>2.1511999999999998</v>
      </c>
      <c r="AD10" s="62">
        <f t="shared" si="0"/>
        <v>3205288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 t="shared" ref="D11:AD11" si="1">SUM(D12:D12)</f>
        <v>4.9800000000000004</v>
      </c>
      <c r="E11" s="61">
        <f t="shared" si="1"/>
        <v>0</v>
      </c>
      <c r="F11" s="53">
        <f t="shared" si="1"/>
        <v>0</v>
      </c>
      <c r="G11" s="61">
        <f t="shared" si="1"/>
        <v>0.59760000000000002</v>
      </c>
      <c r="H11" s="53">
        <f t="shared" si="1"/>
        <v>0</v>
      </c>
      <c r="I11" s="61">
        <f t="shared" si="1"/>
        <v>1.2450000000000001</v>
      </c>
      <c r="J11" s="61">
        <f t="shared" si="1"/>
        <v>6.8226000000000004</v>
      </c>
      <c r="K11" s="121">
        <f t="shared" si="1"/>
        <v>10165674</v>
      </c>
      <c r="L11" s="53">
        <f t="shared" si="1"/>
        <v>0</v>
      </c>
      <c r="M11" s="53">
        <f t="shared" si="1"/>
        <v>4.9800000000000004</v>
      </c>
      <c r="N11" s="61">
        <f t="shared" si="1"/>
        <v>0</v>
      </c>
      <c r="O11" s="53">
        <f t="shared" si="1"/>
        <v>0</v>
      </c>
      <c r="P11" s="61">
        <f t="shared" si="1"/>
        <v>0.64739999999999998</v>
      </c>
      <c r="Q11" s="53">
        <f t="shared" si="1"/>
        <v>0</v>
      </c>
      <c r="R11" s="61">
        <f t="shared" si="1"/>
        <v>1.2450000000000001</v>
      </c>
      <c r="S11" s="61">
        <f t="shared" si="1"/>
        <v>6.8723999999999998</v>
      </c>
      <c r="T11" s="121">
        <f t="shared" si="1"/>
        <v>10239876</v>
      </c>
      <c r="U11" s="53">
        <f t="shared" si="1"/>
        <v>0</v>
      </c>
      <c r="V11" s="53">
        <f t="shared" si="1"/>
        <v>0</v>
      </c>
      <c r="W11" s="61">
        <f t="shared" si="1"/>
        <v>0</v>
      </c>
      <c r="X11" s="53">
        <f t="shared" si="1"/>
        <v>0</v>
      </c>
      <c r="Y11" s="61">
        <f t="shared" si="1"/>
        <v>4.9799999999999955E-2</v>
      </c>
      <c r="Z11" s="53">
        <f t="shared" si="1"/>
        <v>0</v>
      </c>
      <c r="AA11" s="53">
        <f t="shared" si="1"/>
        <v>0</v>
      </c>
      <c r="AB11" s="61">
        <f t="shared" si="1"/>
        <v>0</v>
      </c>
      <c r="AC11" s="61">
        <f t="shared" si="1"/>
        <v>4.9799999999999955E-2</v>
      </c>
      <c r="AD11" s="121">
        <f t="shared" si="1"/>
        <v>74201.999999999927</v>
      </c>
      <c r="AE11" s="51"/>
    </row>
    <row r="12" spans="1:31" ht="39.75" customHeight="1" x14ac:dyDescent="0.25">
      <c r="A12" s="96">
        <v>1</v>
      </c>
      <c r="B12" s="97" t="s">
        <v>230</v>
      </c>
      <c r="C12" s="96"/>
      <c r="D12" s="98">
        <v>4.9800000000000004</v>
      </c>
      <c r="E12" s="99"/>
      <c r="F12" s="98"/>
      <c r="G12" s="99">
        <f>ROUND((D12+E12+F12)*12/100,4)</f>
        <v>0.59760000000000002</v>
      </c>
      <c r="H12" s="98"/>
      <c r="I12" s="99">
        <f>ROUND((D12+E12+F12)*25/100,4)</f>
        <v>1.2450000000000001</v>
      </c>
      <c r="J12" s="99">
        <f>ROUND(SUM(D12:I12),4)</f>
        <v>6.8226000000000004</v>
      </c>
      <c r="K12" s="100">
        <f>ROUND(J12*$B$6,4)</f>
        <v>10165674</v>
      </c>
      <c r="L12" s="98"/>
      <c r="M12" s="98">
        <v>4.9800000000000004</v>
      </c>
      <c r="N12" s="99"/>
      <c r="O12" s="98"/>
      <c r="P12" s="99">
        <f>ROUND((M12+N12+O12)*13/100,4)</f>
        <v>0.64739999999999998</v>
      </c>
      <c r="Q12" s="98"/>
      <c r="R12" s="99">
        <f>ROUND((M12+N12+O12)*25/100,4)</f>
        <v>1.2450000000000001</v>
      </c>
      <c r="S12" s="99">
        <f>ROUND(SUM(M12:R12),4)</f>
        <v>6.8723999999999998</v>
      </c>
      <c r="T12" s="100">
        <f>ROUND(S12*$B$6,0)</f>
        <v>10239876</v>
      </c>
      <c r="U12" s="141" t="s">
        <v>31</v>
      </c>
      <c r="V12" s="98">
        <f t="shared" ref="V12:Y12" si="2">M12-D12</f>
        <v>0</v>
      </c>
      <c r="W12" s="99">
        <f t="shared" si="2"/>
        <v>0</v>
      </c>
      <c r="X12" s="98">
        <f t="shared" si="2"/>
        <v>0</v>
      </c>
      <c r="Y12" s="99">
        <f t="shared" si="2"/>
        <v>4.9799999999999955E-2</v>
      </c>
      <c r="Z12" s="98"/>
      <c r="AA12" s="98"/>
      <c r="AB12" s="99">
        <f>R12-I12</f>
        <v>0</v>
      </c>
      <c r="AC12" s="99">
        <f>SUM(V12:AB12)</f>
        <v>4.9799999999999955E-2</v>
      </c>
      <c r="AD12" s="100">
        <f>AC12*$B$6</f>
        <v>74201.999999999927</v>
      </c>
      <c r="AE12" s="84" t="s">
        <v>231</v>
      </c>
    </row>
    <row r="13" spans="1:31" ht="59.25" customHeight="1" x14ac:dyDescent="0.25">
      <c r="A13" s="102"/>
      <c r="B13" s="92" t="s">
        <v>33</v>
      </c>
      <c r="C13" s="69"/>
      <c r="D13" s="106">
        <f>SUM(D14:D19)</f>
        <v>16.46</v>
      </c>
      <c r="E13" s="106">
        <f>SUM(E14:E19)</f>
        <v>0.38279999999999997</v>
      </c>
      <c r="F13" s="106">
        <f t="shared" ref="F13:U13" si="3">SUM(F14:F18)</f>
        <v>0</v>
      </c>
      <c r="G13" s="71">
        <f>SUM(G14:G19)</f>
        <v>0.8256</v>
      </c>
      <c r="H13" s="106">
        <f t="shared" si="3"/>
        <v>0</v>
      </c>
      <c r="I13" s="71">
        <f t="shared" ref="I13:T13" si="4">SUM(I14:I19)</f>
        <v>1.665</v>
      </c>
      <c r="J13" s="71">
        <f t="shared" si="4"/>
        <v>19.333399999999997</v>
      </c>
      <c r="K13" s="70">
        <f t="shared" si="4"/>
        <v>28806766</v>
      </c>
      <c r="L13" s="106">
        <f t="shared" si="4"/>
        <v>0</v>
      </c>
      <c r="M13" s="106">
        <f t="shared" si="4"/>
        <v>18.36</v>
      </c>
      <c r="N13" s="71">
        <f t="shared" si="4"/>
        <v>0.41760000000000003</v>
      </c>
      <c r="O13" s="106">
        <f t="shared" si="4"/>
        <v>0</v>
      </c>
      <c r="P13" s="71">
        <f t="shared" si="4"/>
        <v>0.89219999999999999</v>
      </c>
      <c r="Q13" s="106">
        <f t="shared" si="4"/>
        <v>0.1</v>
      </c>
      <c r="R13" s="71">
        <f t="shared" si="4"/>
        <v>1.665</v>
      </c>
      <c r="S13" s="71">
        <f t="shared" si="4"/>
        <v>21.434799999999999</v>
      </c>
      <c r="T13" s="70">
        <f t="shared" si="4"/>
        <v>31937852</v>
      </c>
      <c r="U13" s="106">
        <f t="shared" si="3"/>
        <v>0</v>
      </c>
      <c r="V13" s="71">
        <f t="shared" ref="V13:AD13" si="5">SUM(V14:V19)</f>
        <v>1.9</v>
      </c>
      <c r="W13" s="71">
        <f t="shared" si="5"/>
        <v>3.4800000000000053E-2</v>
      </c>
      <c r="X13" s="106">
        <f t="shared" si="5"/>
        <v>0</v>
      </c>
      <c r="Y13" s="71">
        <f t="shared" si="5"/>
        <v>6.6599999999999993E-2</v>
      </c>
      <c r="Z13" s="106">
        <f t="shared" si="5"/>
        <v>0</v>
      </c>
      <c r="AA13" s="106">
        <f t="shared" si="5"/>
        <v>0.1</v>
      </c>
      <c r="AB13" s="71">
        <f t="shared" si="5"/>
        <v>0</v>
      </c>
      <c r="AC13" s="71">
        <f t="shared" si="5"/>
        <v>2.1013999999999999</v>
      </c>
      <c r="AD13" s="70">
        <f t="shared" si="5"/>
        <v>3131086</v>
      </c>
      <c r="AE13" s="106">
        <v>0</v>
      </c>
    </row>
    <row r="14" spans="1:31" ht="42.75" customHeight="1" x14ac:dyDescent="0.25">
      <c r="A14" s="96">
        <v>1</v>
      </c>
      <c r="B14" s="77" t="s">
        <v>232</v>
      </c>
      <c r="C14" s="79"/>
      <c r="D14" s="35">
        <v>3.26</v>
      </c>
      <c r="E14" s="80"/>
      <c r="F14" s="80"/>
      <c r="G14" s="80"/>
      <c r="H14" s="81"/>
      <c r="I14" s="80"/>
      <c r="J14" s="80">
        <f>ROUND(SUM(D14:I14),4)</f>
        <v>3.26</v>
      </c>
      <c r="K14" s="76">
        <f>ROUND(J14*$B$6,0)</f>
        <v>4857400</v>
      </c>
      <c r="L14" s="82"/>
      <c r="M14" s="88">
        <v>3.46</v>
      </c>
      <c r="N14" s="80"/>
      <c r="O14" s="80"/>
      <c r="P14" s="80"/>
      <c r="Q14" s="81"/>
      <c r="R14" s="80"/>
      <c r="S14" s="64">
        <f>ROUND(SUM(M14:R14),4)</f>
        <v>3.46</v>
      </c>
      <c r="T14" s="83">
        <f>ROUND(S14*$B$6,0)</f>
        <v>5155400</v>
      </c>
      <c r="U14" s="60" t="s">
        <v>82</v>
      </c>
      <c r="V14" s="85">
        <f t="shared" ref="V14:V19" si="6">M14-D14</f>
        <v>0.20000000000000018</v>
      </c>
      <c r="W14" s="85"/>
      <c r="X14" s="85">
        <f>O14-F14</f>
        <v>0</v>
      </c>
      <c r="Y14" s="85">
        <f>P14-G14</f>
        <v>0</v>
      </c>
      <c r="Z14" s="85"/>
      <c r="AA14" s="85"/>
      <c r="AB14" s="85">
        <f>R14-I14</f>
        <v>0</v>
      </c>
      <c r="AC14" s="85">
        <f>SUM(V14:AB14)</f>
        <v>0.20000000000000018</v>
      </c>
      <c r="AD14" s="86">
        <f>AC14*$B$6</f>
        <v>298000.00000000029</v>
      </c>
      <c r="AE14" s="84" t="s">
        <v>233</v>
      </c>
    </row>
    <row r="15" spans="1:31" ht="35.25" customHeight="1" x14ac:dyDescent="0.25">
      <c r="A15" s="96">
        <v>2</v>
      </c>
      <c r="B15" s="77" t="s">
        <v>234</v>
      </c>
      <c r="C15" s="79"/>
      <c r="D15" s="35">
        <v>3.06</v>
      </c>
      <c r="E15" s="80"/>
      <c r="F15" s="80"/>
      <c r="G15" s="80"/>
      <c r="H15" s="81"/>
      <c r="I15" s="80"/>
      <c r="J15" s="80">
        <f t="shared" ref="J15:J19" si="7">ROUND(SUM(D15:I15),4)</f>
        <v>3.06</v>
      </c>
      <c r="K15" s="76">
        <f t="shared" ref="K15:K19" si="8">ROUND(J15*$B$6,0)</f>
        <v>4559400</v>
      </c>
      <c r="L15" s="82"/>
      <c r="M15" s="88">
        <v>3.26</v>
      </c>
      <c r="N15" s="80"/>
      <c r="O15" s="80"/>
      <c r="P15" s="80"/>
      <c r="Q15" s="81"/>
      <c r="R15" s="80"/>
      <c r="S15" s="64">
        <f t="shared" ref="S15:S19" si="9">ROUND(SUM(M15:R15),4)</f>
        <v>3.26</v>
      </c>
      <c r="T15" s="83">
        <f t="shared" ref="T15:T19" si="10">ROUND(S15*$B$6,0)</f>
        <v>4857400</v>
      </c>
      <c r="U15" s="60" t="s">
        <v>82</v>
      </c>
      <c r="V15" s="85">
        <f t="shared" si="6"/>
        <v>0.19999999999999973</v>
      </c>
      <c r="W15" s="85">
        <f>N15-E15</f>
        <v>0</v>
      </c>
      <c r="X15" s="85"/>
      <c r="Y15" s="85">
        <f t="shared" ref="Y15:Y18" si="11">P15-G15</f>
        <v>0</v>
      </c>
      <c r="Z15" s="85"/>
      <c r="AA15" s="85"/>
      <c r="AB15" s="85"/>
      <c r="AC15" s="85">
        <f t="shared" ref="AC15:AC19" si="12">SUM(V15:AB15)</f>
        <v>0.19999999999999973</v>
      </c>
      <c r="AD15" s="86">
        <f t="shared" ref="AD15:AD19" si="13">AC15*$B$6</f>
        <v>297999.99999999959</v>
      </c>
      <c r="AE15" s="84" t="s">
        <v>233</v>
      </c>
    </row>
    <row r="16" spans="1:31" ht="35.25" customHeight="1" x14ac:dyDescent="0.25">
      <c r="A16" s="96">
        <v>3</v>
      </c>
      <c r="B16" s="77" t="s">
        <v>235</v>
      </c>
      <c r="C16" s="79"/>
      <c r="D16" s="35">
        <v>3.66</v>
      </c>
      <c r="E16" s="80"/>
      <c r="F16" s="80"/>
      <c r="G16" s="80">
        <f>ROUND((D16+E16+F16)*16/100,4)</f>
        <v>0.58560000000000001</v>
      </c>
      <c r="H16" s="81"/>
      <c r="I16" s="80">
        <f>ROUND((D16+E16+F16)*25/100,4)</f>
        <v>0.91500000000000004</v>
      </c>
      <c r="J16" s="80">
        <f t="shared" si="7"/>
        <v>5.1605999999999996</v>
      </c>
      <c r="K16" s="76">
        <f t="shared" si="8"/>
        <v>7689294</v>
      </c>
      <c r="L16" s="82"/>
      <c r="M16" s="88">
        <v>3.66</v>
      </c>
      <c r="N16" s="80"/>
      <c r="O16" s="80"/>
      <c r="P16" s="80">
        <f>ROUND((M16+N16+O16)*17/100,4)</f>
        <v>0.62219999999999998</v>
      </c>
      <c r="Q16" s="81"/>
      <c r="R16" s="80">
        <f>ROUND((M16+N16+O16)*25/100,4)</f>
        <v>0.91500000000000004</v>
      </c>
      <c r="S16" s="64">
        <f t="shared" si="9"/>
        <v>5.1971999999999996</v>
      </c>
      <c r="T16" s="83">
        <f t="shared" si="10"/>
        <v>7743828</v>
      </c>
      <c r="U16" s="60" t="s">
        <v>34</v>
      </c>
      <c r="V16" s="85">
        <f t="shared" si="6"/>
        <v>0</v>
      </c>
      <c r="W16" s="85"/>
      <c r="X16" s="85"/>
      <c r="Y16" s="85">
        <f t="shared" si="11"/>
        <v>3.6599999999999966E-2</v>
      </c>
      <c r="Z16" s="85"/>
      <c r="AA16" s="85"/>
      <c r="AB16" s="85"/>
      <c r="AC16" s="85">
        <f t="shared" si="12"/>
        <v>3.6599999999999966E-2</v>
      </c>
      <c r="AD16" s="86">
        <f t="shared" si="13"/>
        <v>54533.999999999949</v>
      </c>
      <c r="AE16" s="84" t="s">
        <v>236</v>
      </c>
    </row>
    <row r="17" spans="1:31" ht="35.25" customHeight="1" x14ac:dyDescent="0.25">
      <c r="A17" s="96">
        <v>4</v>
      </c>
      <c r="B17" s="77" t="s">
        <v>237</v>
      </c>
      <c r="C17" s="79"/>
      <c r="D17" s="35">
        <v>3</v>
      </c>
      <c r="E17" s="80"/>
      <c r="F17" s="80"/>
      <c r="G17" s="80">
        <f>ROUND((D17+E17+F17)*8/100,4)</f>
        <v>0.24</v>
      </c>
      <c r="H17" s="81"/>
      <c r="I17" s="80">
        <f t="shared" ref="I17" si="14">ROUND((D17+E17+F17)*25/100,4)</f>
        <v>0.75</v>
      </c>
      <c r="J17" s="80">
        <f t="shared" si="7"/>
        <v>3.99</v>
      </c>
      <c r="K17" s="76">
        <f t="shared" si="8"/>
        <v>5945100</v>
      </c>
      <c r="L17" s="82"/>
      <c r="M17" s="88">
        <v>3</v>
      </c>
      <c r="N17" s="80"/>
      <c r="O17" s="80"/>
      <c r="P17" s="80">
        <f>ROUND((M17+N17+O17)*9/100,4)</f>
        <v>0.27</v>
      </c>
      <c r="Q17" s="81"/>
      <c r="R17" s="80">
        <f t="shared" ref="R17" si="15">ROUND((M17+N17+O17)*25/100,4)</f>
        <v>0.75</v>
      </c>
      <c r="S17" s="64">
        <f t="shared" si="9"/>
        <v>4.0199999999999996</v>
      </c>
      <c r="T17" s="83">
        <f t="shared" si="10"/>
        <v>5989800</v>
      </c>
      <c r="U17" s="60" t="s">
        <v>34</v>
      </c>
      <c r="V17" s="85">
        <f t="shared" si="6"/>
        <v>0</v>
      </c>
      <c r="W17" s="85"/>
      <c r="X17" s="85"/>
      <c r="Y17" s="85">
        <f t="shared" si="11"/>
        <v>3.0000000000000027E-2</v>
      </c>
      <c r="Z17" s="85"/>
      <c r="AA17" s="85"/>
      <c r="AB17" s="85"/>
      <c r="AC17" s="85">
        <f t="shared" si="12"/>
        <v>3.0000000000000027E-2</v>
      </c>
      <c r="AD17" s="86">
        <f t="shared" si="13"/>
        <v>44700.000000000036</v>
      </c>
      <c r="AE17" s="84" t="s">
        <v>238</v>
      </c>
    </row>
    <row r="18" spans="1:31" ht="35.25" customHeight="1" x14ac:dyDescent="0.25">
      <c r="A18" s="96">
        <v>5</v>
      </c>
      <c r="B18" s="77" t="s">
        <v>239</v>
      </c>
      <c r="C18" s="79"/>
      <c r="D18" s="148">
        <v>3.48</v>
      </c>
      <c r="E18" s="80">
        <f>ROUND(D18*11/100,4)</f>
        <v>0.38279999999999997</v>
      </c>
      <c r="F18" s="80"/>
      <c r="G18" s="80"/>
      <c r="H18" s="81"/>
      <c r="I18" s="80"/>
      <c r="J18" s="80">
        <f t="shared" si="7"/>
        <v>3.8628</v>
      </c>
      <c r="K18" s="76">
        <f t="shared" si="8"/>
        <v>5755572</v>
      </c>
      <c r="L18" s="82"/>
      <c r="M18" s="88">
        <v>3.48</v>
      </c>
      <c r="N18" s="80">
        <f>ROUND(M18*12/100,4)</f>
        <v>0.41760000000000003</v>
      </c>
      <c r="O18" s="80"/>
      <c r="P18" s="80"/>
      <c r="Q18" s="81"/>
      <c r="R18" s="80"/>
      <c r="S18" s="64">
        <f t="shared" si="9"/>
        <v>3.8976000000000002</v>
      </c>
      <c r="T18" s="83">
        <f t="shared" si="10"/>
        <v>5807424</v>
      </c>
      <c r="U18" s="60" t="s">
        <v>35</v>
      </c>
      <c r="V18" s="85">
        <f t="shared" si="6"/>
        <v>0</v>
      </c>
      <c r="W18" s="85">
        <f>N18-E18</f>
        <v>3.4800000000000053E-2</v>
      </c>
      <c r="X18" s="85"/>
      <c r="Y18" s="85">
        <f t="shared" si="11"/>
        <v>0</v>
      </c>
      <c r="Z18" s="85"/>
      <c r="AA18" s="85"/>
      <c r="AB18" s="85"/>
      <c r="AC18" s="85">
        <f t="shared" si="12"/>
        <v>3.4800000000000053E-2</v>
      </c>
      <c r="AD18" s="86">
        <f t="shared" si="13"/>
        <v>51852.00000000008</v>
      </c>
      <c r="AE18" s="84" t="s">
        <v>240</v>
      </c>
    </row>
    <row r="19" spans="1:31" ht="35.25" customHeight="1" x14ac:dyDescent="0.25">
      <c r="A19" s="147">
        <v>6</v>
      </c>
      <c r="B19" s="254" t="s">
        <v>244</v>
      </c>
      <c r="C19" s="254"/>
      <c r="D19" s="255">
        <v>0</v>
      </c>
      <c r="E19" s="256"/>
      <c r="F19" s="256"/>
      <c r="G19" s="256"/>
      <c r="H19" s="257"/>
      <c r="I19" s="256"/>
      <c r="J19" s="80">
        <f t="shared" si="7"/>
        <v>0</v>
      </c>
      <c r="K19" s="76">
        <f t="shared" si="8"/>
        <v>0</v>
      </c>
      <c r="L19" s="256"/>
      <c r="M19" s="258">
        <v>1.5</v>
      </c>
      <c r="N19" s="256"/>
      <c r="O19" s="256"/>
      <c r="P19" s="256"/>
      <c r="Q19" s="257">
        <v>0.1</v>
      </c>
      <c r="R19" s="256"/>
      <c r="S19" s="64">
        <f t="shared" si="9"/>
        <v>1.6</v>
      </c>
      <c r="T19" s="83">
        <f t="shared" si="10"/>
        <v>2384000</v>
      </c>
      <c r="U19" s="190" t="s">
        <v>80</v>
      </c>
      <c r="V19" s="259">
        <f t="shared" si="6"/>
        <v>1.5</v>
      </c>
      <c r="W19" s="259"/>
      <c r="X19" s="259"/>
      <c r="Y19" s="259"/>
      <c r="Z19" s="259"/>
      <c r="AA19" s="259">
        <f>Q19</f>
        <v>0.1</v>
      </c>
      <c r="AB19" s="259"/>
      <c r="AC19" s="85">
        <f t="shared" si="12"/>
        <v>1.6</v>
      </c>
      <c r="AD19" s="86">
        <f t="shared" si="13"/>
        <v>2384000</v>
      </c>
      <c r="AE19" s="204" t="s">
        <v>245</v>
      </c>
    </row>
    <row r="20" spans="1:31" ht="22.5" customHeight="1" x14ac:dyDescent="0.25">
      <c r="A20" s="34" t="s">
        <v>36</v>
      </c>
      <c r="B20" s="66"/>
      <c r="C20" s="63"/>
      <c r="D20" s="73">
        <f t="shared" ref="D20:AD20" si="16">D21+D23</f>
        <v>2.34</v>
      </c>
      <c r="E20" s="68">
        <f t="shared" si="16"/>
        <v>0</v>
      </c>
      <c r="F20" s="73">
        <f t="shared" si="16"/>
        <v>0</v>
      </c>
      <c r="G20" s="68">
        <f t="shared" si="16"/>
        <v>0</v>
      </c>
      <c r="H20" s="73">
        <f t="shared" si="16"/>
        <v>0</v>
      </c>
      <c r="I20" s="68">
        <f t="shared" si="16"/>
        <v>0.58499999999999996</v>
      </c>
      <c r="J20" s="68">
        <f t="shared" si="16"/>
        <v>2.9249999999999998</v>
      </c>
      <c r="K20" s="67">
        <f t="shared" si="16"/>
        <v>4358250</v>
      </c>
      <c r="L20" s="73">
        <f t="shared" si="16"/>
        <v>0</v>
      </c>
      <c r="M20" s="73">
        <f t="shared" si="16"/>
        <v>0</v>
      </c>
      <c r="N20" s="68">
        <f t="shared" si="16"/>
        <v>0</v>
      </c>
      <c r="O20" s="73">
        <f t="shared" si="16"/>
        <v>0</v>
      </c>
      <c r="P20" s="68">
        <f t="shared" si="16"/>
        <v>0</v>
      </c>
      <c r="Q20" s="73">
        <f t="shared" si="16"/>
        <v>0</v>
      </c>
      <c r="R20" s="68">
        <f t="shared" si="16"/>
        <v>0</v>
      </c>
      <c r="S20" s="68">
        <f t="shared" si="16"/>
        <v>0</v>
      </c>
      <c r="T20" s="68">
        <f t="shared" si="16"/>
        <v>0</v>
      </c>
      <c r="U20" s="67">
        <f t="shared" si="16"/>
        <v>0</v>
      </c>
      <c r="V20" s="73">
        <f t="shared" si="16"/>
        <v>2.34</v>
      </c>
      <c r="W20" s="68">
        <f t="shared" si="16"/>
        <v>0</v>
      </c>
      <c r="X20" s="73">
        <f t="shared" si="16"/>
        <v>0</v>
      </c>
      <c r="Y20" s="68">
        <f t="shared" si="16"/>
        <v>0</v>
      </c>
      <c r="Z20" s="73">
        <f t="shared" si="16"/>
        <v>0</v>
      </c>
      <c r="AA20" s="73">
        <f t="shared" si="16"/>
        <v>0</v>
      </c>
      <c r="AB20" s="68">
        <f t="shared" si="16"/>
        <v>0</v>
      </c>
      <c r="AC20" s="68">
        <f>AC21+AC23</f>
        <v>2.34</v>
      </c>
      <c r="AD20" s="67">
        <f t="shared" si="16"/>
        <v>3486600</v>
      </c>
      <c r="AE20" s="72"/>
    </row>
    <row r="21" spans="1:31" ht="23.25" customHeight="1" x14ac:dyDescent="0.25">
      <c r="A21" s="59"/>
      <c r="B21" s="214" t="s">
        <v>29</v>
      </c>
      <c r="C21" s="60"/>
      <c r="D21" s="74">
        <f t="shared" ref="D21:AE21" si="17">SUM(D22:D22)</f>
        <v>0</v>
      </c>
      <c r="E21" s="78">
        <f t="shared" si="17"/>
        <v>0</v>
      </c>
      <c r="F21" s="74">
        <f t="shared" si="17"/>
        <v>0</v>
      </c>
      <c r="G21" s="78">
        <f t="shared" si="17"/>
        <v>0</v>
      </c>
      <c r="H21" s="74">
        <f t="shared" si="17"/>
        <v>0</v>
      </c>
      <c r="I21" s="78">
        <f t="shared" si="17"/>
        <v>0</v>
      </c>
      <c r="J21" s="78">
        <f t="shared" si="17"/>
        <v>0</v>
      </c>
      <c r="K21" s="75">
        <f t="shared" si="17"/>
        <v>0</v>
      </c>
      <c r="L21" s="74">
        <f t="shared" si="17"/>
        <v>0</v>
      </c>
      <c r="M21" s="74">
        <f t="shared" si="17"/>
        <v>0</v>
      </c>
      <c r="N21" s="78">
        <f t="shared" si="17"/>
        <v>0</v>
      </c>
      <c r="O21" s="74">
        <f t="shared" si="17"/>
        <v>0</v>
      </c>
      <c r="P21" s="78">
        <f t="shared" si="17"/>
        <v>0</v>
      </c>
      <c r="Q21" s="74">
        <f t="shared" si="17"/>
        <v>0</v>
      </c>
      <c r="R21" s="78">
        <f t="shared" si="17"/>
        <v>0</v>
      </c>
      <c r="S21" s="78">
        <f t="shared" si="17"/>
        <v>0</v>
      </c>
      <c r="T21" s="74">
        <f t="shared" si="17"/>
        <v>0</v>
      </c>
      <c r="U21" s="67">
        <f t="shared" si="17"/>
        <v>0</v>
      </c>
      <c r="V21" s="74">
        <f t="shared" si="17"/>
        <v>0</v>
      </c>
      <c r="W21" s="74">
        <f t="shared" si="17"/>
        <v>0</v>
      </c>
      <c r="X21" s="74">
        <f t="shared" si="17"/>
        <v>0</v>
      </c>
      <c r="Y21" s="78">
        <f t="shared" si="17"/>
        <v>0</v>
      </c>
      <c r="Z21" s="74">
        <f t="shared" si="17"/>
        <v>0</v>
      </c>
      <c r="AA21" s="74">
        <f t="shared" si="17"/>
        <v>0</v>
      </c>
      <c r="AB21" s="78">
        <f t="shared" si="17"/>
        <v>0</v>
      </c>
      <c r="AC21" s="78">
        <f t="shared" si="17"/>
        <v>0</v>
      </c>
      <c r="AD21" s="75">
        <f t="shared" si="17"/>
        <v>0</v>
      </c>
      <c r="AE21" s="74">
        <f t="shared" si="17"/>
        <v>0</v>
      </c>
    </row>
    <row r="22" spans="1:31" ht="28.5" hidden="1" customHeight="1" x14ac:dyDescent="0.25">
      <c r="A22" s="207"/>
      <c r="B22" s="215"/>
      <c r="C22" s="208"/>
      <c r="D22" s="209"/>
      <c r="E22" s="182"/>
      <c r="F22" s="182"/>
      <c r="G22" s="182"/>
      <c r="H22" s="182"/>
      <c r="I22" s="182"/>
      <c r="J22" s="182"/>
      <c r="K22" s="183"/>
      <c r="L22" s="182"/>
      <c r="M22" s="210"/>
      <c r="N22" s="182"/>
      <c r="O22" s="182"/>
      <c r="P22" s="182"/>
      <c r="Q22" s="182"/>
      <c r="R22" s="182"/>
      <c r="S22" s="211"/>
      <c r="T22" s="183"/>
      <c r="U22" s="60"/>
      <c r="V22" s="184"/>
      <c r="W22" s="184"/>
      <c r="X22" s="184"/>
      <c r="Y22" s="184"/>
      <c r="Z22" s="184"/>
      <c r="AA22" s="184"/>
      <c r="AB22" s="184"/>
      <c r="AC22" s="184"/>
      <c r="AD22" s="185"/>
      <c r="AE22" s="212"/>
    </row>
    <row r="23" spans="1:31" ht="48" customHeight="1" x14ac:dyDescent="0.25">
      <c r="A23" s="192"/>
      <c r="B23" s="193" t="s">
        <v>33</v>
      </c>
      <c r="C23" s="193"/>
      <c r="D23" s="194">
        <f t="shared" ref="D23:AD23" si="18">SUM(D24:D24)</f>
        <v>2.34</v>
      </c>
      <c r="E23" s="194">
        <f t="shared" si="18"/>
        <v>0</v>
      </c>
      <c r="F23" s="194">
        <f t="shared" si="18"/>
        <v>0</v>
      </c>
      <c r="G23" s="195">
        <f t="shared" si="18"/>
        <v>0</v>
      </c>
      <c r="H23" s="194">
        <f t="shared" si="18"/>
        <v>0</v>
      </c>
      <c r="I23" s="195">
        <f t="shared" si="18"/>
        <v>0.58499999999999996</v>
      </c>
      <c r="J23" s="195">
        <f t="shared" si="18"/>
        <v>2.9249999999999998</v>
      </c>
      <c r="K23" s="196">
        <f t="shared" si="18"/>
        <v>4358250</v>
      </c>
      <c r="L23" s="194">
        <f t="shared" si="18"/>
        <v>0</v>
      </c>
      <c r="M23" s="194">
        <f t="shared" si="18"/>
        <v>0</v>
      </c>
      <c r="N23" s="194">
        <f t="shared" si="18"/>
        <v>0</v>
      </c>
      <c r="O23" s="194">
        <f t="shared" si="18"/>
        <v>0</v>
      </c>
      <c r="P23" s="195">
        <f t="shared" si="18"/>
        <v>0</v>
      </c>
      <c r="Q23" s="194">
        <f t="shared" si="18"/>
        <v>0</v>
      </c>
      <c r="R23" s="195">
        <f t="shared" si="18"/>
        <v>0</v>
      </c>
      <c r="S23" s="195">
        <f t="shared" si="18"/>
        <v>0</v>
      </c>
      <c r="T23" s="196">
        <f t="shared" si="18"/>
        <v>0</v>
      </c>
      <c r="U23" s="194">
        <f t="shared" si="18"/>
        <v>0</v>
      </c>
      <c r="V23" s="194">
        <f t="shared" si="18"/>
        <v>2.34</v>
      </c>
      <c r="W23" s="194">
        <f t="shared" si="18"/>
        <v>0</v>
      </c>
      <c r="X23" s="194">
        <f t="shared" si="18"/>
        <v>0</v>
      </c>
      <c r="Y23" s="195">
        <f t="shared" si="18"/>
        <v>0</v>
      </c>
      <c r="Z23" s="194">
        <f t="shared" si="18"/>
        <v>0</v>
      </c>
      <c r="AA23" s="194">
        <f t="shared" si="18"/>
        <v>0</v>
      </c>
      <c r="AB23" s="195">
        <f t="shared" si="18"/>
        <v>0</v>
      </c>
      <c r="AC23" s="195">
        <f t="shared" si="18"/>
        <v>2.34</v>
      </c>
      <c r="AD23" s="196">
        <f t="shared" si="18"/>
        <v>3486600</v>
      </c>
      <c r="AE23" s="110"/>
    </row>
    <row r="24" spans="1:31" ht="45.75" customHeight="1" x14ac:dyDescent="0.25">
      <c r="A24" s="172">
        <v>1</v>
      </c>
      <c r="B24" s="160" t="s">
        <v>241</v>
      </c>
      <c r="C24" s="160"/>
      <c r="D24" s="174">
        <v>2.34</v>
      </c>
      <c r="E24" s="164"/>
      <c r="F24" s="164"/>
      <c r="G24" s="162"/>
      <c r="H24" s="173"/>
      <c r="I24" s="162">
        <f>ROUND((D24+E24+F24)*25/100,4)</f>
        <v>0.58499999999999996</v>
      </c>
      <c r="J24" s="162">
        <f>ROUND(SUM(D24:I24),4)</f>
        <v>2.9249999999999998</v>
      </c>
      <c r="K24" s="163">
        <f>J24*$B$6</f>
        <v>4358250</v>
      </c>
      <c r="L24" s="164"/>
      <c r="M24" s="164"/>
      <c r="N24" s="164"/>
      <c r="O24" s="164"/>
      <c r="P24" s="164"/>
      <c r="Q24" s="173"/>
      <c r="R24" s="162"/>
      <c r="S24" s="162"/>
      <c r="T24" s="163"/>
      <c r="U24" s="166" t="s">
        <v>34</v>
      </c>
      <c r="V24" s="174">
        <f>D24</f>
        <v>2.34</v>
      </c>
      <c r="W24" s="164"/>
      <c r="X24" s="164"/>
      <c r="Y24" s="162">
        <f>G24</f>
        <v>0</v>
      </c>
      <c r="Z24" s="164"/>
      <c r="AA24" s="164"/>
      <c r="AB24" s="162"/>
      <c r="AC24" s="162">
        <f>SUM(V24:AB24)</f>
        <v>2.34</v>
      </c>
      <c r="AD24" s="163">
        <f>AC24*$B$6</f>
        <v>3486600</v>
      </c>
      <c r="AE24" s="175" t="s">
        <v>242</v>
      </c>
    </row>
    <row r="25" spans="1:31" ht="24" customHeight="1" x14ac:dyDescent="0.25">
      <c r="A25" s="43"/>
      <c r="B25" s="42"/>
      <c r="C25" s="8"/>
      <c r="D25" s="9"/>
      <c r="E25" s="10"/>
      <c r="F25" s="11"/>
      <c r="G25" s="22"/>
      <c r="H25" s="22"/>
      <c r="I25" s="22"/>
      <c r="J25" s="23"/>
      <c r="K25" s="24"/>
      <c r="L25" s="12"/>
      <c r="M25" s="13"/>
      <c r="N25" s="13"/>
      <c r="O25" s="7"/>
      <c r="P25" s="7"/>
      <c r="Q25" s="14"/>
      <c r="R25" s="18"/>
      <c r="S25" s="18"/>
      <c r="T25" s="18"/>
      <c r="U25" s="18"/>
      <c r="V25" s="7"/>
      <c r="W25" s="220"/>
      <c r="X25" s="221"/>
      <c r="Y25" s="42"/>
      <c r="Z25" s="42"/>
      <c r="AA25" s="42"/>
      <c r="AB25" s="42"/>
      <c r="AC25" s="42"/>
      <c r="AD25" s="42"/>
      <c r="AE25" s="18"/>
    </row>
    <row r="26" spans="1:31" ht="15.75" x14ac:dyDescent="0.25">
      <c r="A26" s="43"/>
      <c r="B26" s="42"/>
      <c r="C26" s="8"/>
      <c r="D26" s="9"/>
      <c r="E26" s="10"/>
      <c r="F26" s="11"/>
      <c r="G26" s="22"/>
      <c r="H26" s="22"/>
      <c r="I26" s="22"/>
      <c r="J26" s="23"/>
      <c r="K26" s="24"/>
      <c r="L26" s="12"/>
      <c r="M26" s="13"/>
      <c r="N26" s="13"/>
      <c r="O26" s="7"/>
      <c r="P26" s="7"/>
      <c r="Q26" s="14"/>
      <c r="R26" s="18"/>
      <c r="S26" s="18"/>
      <c r="T26" s="18"/>
      <c r="U26" s="18"/>
      <c r="V26" s="15"/>
      <c r="W26" s="6"/>
      <c r="X26" s="33"/>
      <c r="Y26" s="44"/>
      <c r="Z26" s="44"/>
      <c r="AA26" s="301" t="s">
        <v>243</v>
      </c>
      <c r="AB26" s="301"/>
      <c r="AC26" s="301"/>
      <c r="AD26" s="301"/>
      <c r="AE26" s="301"/>
    </row>
    <row r="27" spans="1:31" ht="15.75" x14ac:dyDescent="0.25">
      <c r="A27" s="43"/>
      <c r="B27" s="291" t="s">
        <v>37</v>
      </c>
      <c r="C27" s="291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1"/>
      <c r="P27" s="291"/>
      <c r="Q27" s="291"/>
      <c r="R27" s="291"/>
      <c r="S27" s="291"/>
      <c r="T27" s="291"/>
      <c r="U27" s="291"/>
      <c r="V27" s="3"/>
      <c r="W27" s="291" t="s">
        <v>38</v>
      </c>
      <c r="X27" s="291"/>
      <c r="Y27" s="291"/>
      <c r="Z27" s="291"/>
      <c r="AA27" s="302" t="s">
        <v>39</v>
      </c>
      <c r="AB27" s="302"/>
      <c r="AC27" s="302"/>
      <c r="AD27" s="302"/>
      <c r="AE27" s="302"/>
    </row>
    <row r="28" spans="1:31" ht="15.75" x14ac:dyDescent="0.25">
      <c r="A28" s="43"/>
      <c r="B28" s="2"/>
      <c r="C28" s="2"/>
      <c r="D28" s="2"/>
      <c r="E28" s="2"/>
      <c r="F28" s="2"/>
      <c r="G28" s="4"/>
      <c r="H28" s="4"/>
      <c r="I28" s="2"/>
      <c r="J28" s="2"/>
      <c r="K28" s="4"/>
      <c r="L28" s="2"/>
      <c r="M28" s="2"/>
      <c r="N28" s="2"/>
      <c r="O28" s="2"/>
      <c r="P28" s="2"/>
      <c r="Q28" s="2"/>
      <c r="R28" s="2"/>
      <c r="S28" s="223"/>
      <c r="T28" s="223"/>
      <c r="U28" s="223"/>
      <c r="V28" s="25"/>
      <c r="W28" s="223"/>
      <c r="X28" s="222"/>
      <c r="Y28" s="2"/>
      <c r="Z28" s="2"/>
      <c r="AA28" s="2"/>
      <c r="AB28" s="222"/>
      <c r="AC28" s="47"/>
      <c r="AD28" s="47"/>
      <c r="AE28" s="4"/>
    </row>
    <row r="29" spans="1:31" ht="15.75" x14ac:dyDescent="0.25">
      <c r="A29" s="43"/>
      <c r="B29" s="2"/>
      <c r="C29" s="2"/>
      <c r="D29" s="2"/>
      <c r="E29" s="2"/>
      <c r="F29" s="2"/>
      <c r="G29" s="4"/>
      <c r="H29" s="4"/>
      <c r="I29" s="2"/>
      <c r="J29" s="2"/>
      <c r="K29" s="4"/>
      <c r="L29" s="2"/>
      <c r="M29" s="2"/>
      <c r="N29" s="2"/>
      <c r="O29" s="2"/>
      <c r="P29" s="2"/>
      <c r="Q29" s="2"/>
      <c r="R29" s="2"/>
      <c r="S29" s="223"/>
      <c r="T29" s="25"/>
      <c r="U29" s="25"/>
      <c r="V29" s="2"/>
      <c r="W29" s="2"/>
      <c r="X29" s="2"/>
      <c r="Y29" s="48"/>
      <c r="Z29" s="2"/>
      <c r="AA29" s="2"/>
      <c r="AB29" s="2"/>
      <c r="AC29" s="41"/>
      <c r="AD29" s="41"/>
      <c r="AE29" s="3"/>
    </row>
    <row r="30" spans="1:31" ht="15.75" x14ac:dyDescent="0.25">
      <c r="A30" s="43"/>
      <c r="B30" s="2"/>
      <c r="C30" s="2"/>
      <c r="D30" s="2"/>
      <c r="E30" s="2"/>
      <c r="F30" s="2"/>
      <c r="G30" s="4"/>
      <c r="H30" s="4"/>
      <c r="I30" s="2"/>
      <c r="J30" s="2"/>
      <c r="K30" s="4"/>
      <c r="L30" s="2"/>
      <c r="M30" s="2"/>
      <c r="N30" s="2"/>
      <c r="O30" s="2"/>
      <c r="P30" s="2"/>
      <c r="Q30" s="2"/>
      <c r="R30" s="2"/>
      <c r="S30" s="2"/>
      <c r="T30" s="25"/>
      <c r="U30" s="25"/>
      <c r="V30" s="2"/>
      <c r="W30" s="2"/>
      <c r="X30" s="2"/>
      <c r="Y30" s="48"/>
      <c r="Z30" s="2"/>
      <c r="AA30" s="2"/>
      <c r="AB30" s="2"/>
      <c r="AC30" s="41"/>
      <c r="AD30" s="41"/>
      <c r="AE30" s="3"/>
    </row>
    <row r="31" spans="1:31" ht="15.75" x14ac:dyDescent="0.25">
      <c r="A31" s="43"/>
      <c r="B31" s="2"/>
      <c r="C31" s="2"/>
      <c r="D31" s="2"/>
      <c r="E31" s="2"/>
      <c r="F31" s="2"/>
      <c r="G31" s="4"/>
      <c r="H31" s="4"/>
      <c r="I31" s="2"/>
      <c r="J31" s="2"/>
      <c r="K31" s="4"/>
      <c r="L31" s="2"/>
      <c r="M31" s="2"/>
      <c r="N31" s="2"/>
      <c r="O31" s="2"/>
      <c r="P31" s="2"/>
      <c r="Q31" s="2"/>
      <c r="R31" s="2"/>
      <c r="S31" s="2"/>
      <c r="T31" s="25"/>
      <c r="U31" s="25"/>
      <c r="V31" s="2"/>
      <c r="W31" s="2"/>
      <c r="X31" s="2"/>
      <c r="Y31" s="48"/>
      <c r="Z31" s="2"/>
      <c r="AA31" s="2"/>
      <c r="AB31" s="2"/>
      <c r="AC31" s="41"/>
      <c r="AD31" s="41"/>
      <c r="AE31" s="3"/>
    </row>
    <row r="32" spans="1:31" ht="15.75" x14ac:dyDescent="0.25">
      <c r="A32" s="43"/>
      <c r="B32" s="291" t="s">
        <v>40</v>
      </c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1"/>
      <c r="U32" s="291"/>
      <c r="V32" s="2"/>
      <c r="W32" s="291" t="s">
        <v>41</v>
      </c>
      <c r="X32" s="291"/>
      <c r="Y32" s="291"/>
      <c r="Z32" s="291"/>
      <c r="AA32" s="291" t="s">
        <v>42</v>
      </c>
      <c r="AB32" s="291"/>
      <c r="AC32" s="291"/>
      <c r="AD32" s="291"/>
      <c r="AE32" s="291"/>
    </row>
    <row r="33" spans="1:31" ht="15.75" x14ac:dyDescent="0.25">
      <c r="A33" s="43"/>
      <c r="B33" s="2"/>
      <c r="C33" s="2"/>
      <c r="D33" s="2"/>
      <c r="E33" s="2"/>
      <c r="F33" s="2"/>
      <c r="G33" s="4"/>
      <c r="H33" s="4"/>
      <c r="I33" s="2"/>
      <c r="J33" s="2"/>
      <c r="K33" s="4"/>
      <c r="L33" s="2"/>
      <c r="M33" s="2"/>
      <c r="N33" s="2"/>
      <c r="O33" s="2"/>
      <c r="P33" s="2"/>
      <c r="Q33" s="2"/>
      <c r="R33" s="2"/>
      <c r="S33" s="2"/>
      <c r="T33" s="25"/>
      <c r="U33" s="25"/>
      <c r="V33" s="2"/>
      <c r="W33" s="6"/>
      <c r="X33" s="33"/>
      <c r="Y33" s="2"/>
      <c r="Z33" s="2"/>
      <c r="AA33" s="2"/>
      <c r="AB33" s="2"/>
      <c r="AC33" s="2"/>
      <c r="AD33" s="2"/>
      <c r="AE33" s="2"/>
    </row>
  </sheetData>
  <mergeCells count="20">
    <mergeCell ref="A5:AE5"/>
    <mergeCell ref="A1:U1"/>
    <mergeCell ref="AA1:AE1"/>
    <mergeCell ref="A2:U2"/>
    <mergeCell ref="AA2:AE2"/>
    <mergeCell ref="A3:U3"/>
    <mergeCell ref="B32:U32"/>
    <mergeCell ref="W32:Z32"/>
    <mergeCell ref="AA32:AE32"/>
    <mergeCell ref="A7:A8"/>
    <mergeCell ref="B7:B8"/>
    <mergeCell ref="C7:K7"/>
    <mergeCell ref="L7:T7"/>
    <mergeCell ref="U7:U8"/>
    <mergeCell ref="V7:AD7"/>
    <mergeCell ref="AE7:AE8"/>
    <mergeCell ref="AA26:AE26"/>
    <mergeCell ref="B27:U27"/>
    <mergeCell ref="W27:Z27"/>
    <mergeCell ref="AA27:AE27"/>
  </mergeCells>
  <pageMargins left="0.31496062992125984" right="0.27559055118110237" top="0.55118110236220474" bottom="0.49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2"/>
  <sheetViews>
    <sheetView topLeftCell="A14" workbookViewId="0">
      <selection activeCell="B18" sqref="B18"/>
    </sheetView>
  </sheetViews>
  <sheetFormatPr defaultRowHeight="15" x14ac:dyDescent="0.25"/>
  <cols>
    <col min="1" max="1" width="4.5703125" style="1" customWidth="1"/>
    <col min="2" max="2" width="24.85546875" style="1" customWidth="1"/>
    <col min="3" max="3" width="9.140625" style="1" hidden="1" customWidth="1"/>
    <col min="4" max="4" width="11" style="1" hidden="1" customWidth="1"/>
    <col min="5" max="5" width="10.28515625" style="1" hidden="1" customWidth="1"/>
    <col min="6" max="6" width="9.7109375" style="1" hidden="1" customWidth="1"/>
    <col min="7" max="7" width="12" style="1" hidden="1" customWidth="1"/>
    <col min="8" max="8" width="9.140625" style="1" hidden="1" customWidth="1"/>
    <col min="9" max="10" width="10.7109375" style="1" hidden="1" customWidth="1"/>
    <col min="11" max="11" width="15.42578125" style="1" hidden="1" customWidth="1"/>
    <col min="12" max="12" width="9.140625" style="1" hidden="1" customWidth="1"/>
    <col min="13" max="13" width="10" style="1" hidden="1" customWidth="1"/>
    <col min="14" max="14" width="9.5703125" style="1" hidden="1" customWidth="1"/>
    <col min="15" max="15" width="9.140625" style="1" hidden="1" customWidth="1"/>
    <col min="16" max="16" width="11.140625" style="1" hidden="1" customWidth="1"/>
    <col min="17" max="17" width="9.140625" style="1" hidden="1" customWidth="1"/>
    <col min="18" max="18" width="11.5703125" style="1" hidden="1" customWidth="1"/>
    <col min="19" max="19" width="12.28515625" style="1" hidden="1" customWidth="1"/>
    <col min="20" max="20" width="2.5703125" style="1" hidden="1" customWidth="1"/>
    <col min="21" max="21" width="11.5703125" style="1" customWidth="1"/>
    <col min="22" max="22" width="9.42578125" style="1" customWidth="1"/>
    <col min="23" max="23" width="8.42578125" style="1" customWidth="1"/>
    <col min="24" max="24" width="9" style="1" customWidth="1"/>
    <col min="25" max="25" width="10" style="1" customWidth="1"/>
    <col min="26" max="26" width="7.7109375" style="1" customWidth="1"/>
    <col min="27" max="27" width="8.5703125" style="1" customWidth="1"/>
    <col min="28" max="28" width="8.42578125" style="1" customWidth="1"/>
    <col min="29" max="29" width="10.42578125" style="1" customWidth="1"/>
    <col min="30" max="30" width="13" style="1" customWidth="1"/>
    <col min="31" max="31" width="12.1406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246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1490000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353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55.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226</v>
      </c>
      <c r="AE9" s="27" t="s">
        <v>27</v>
      </c>
    </row>
    <row r="10" spans="1:31" ht="30.75" customHeight="1" x14ac:dyDescent="0.25">
      <c r="A10" s="34" t="s">
        <v>28</v>
      </c>
      <c r="B10" s="32"/>
      <c r="C10" s="31"/>
      <c r="D10" s="49">
        <f t="shared" ref="D10:AD10" si="0">D11+D51</f>
        <v>379.62000000000006</v>
      </c>
      <c r="E10" s="50">
        <f t="shared" si="0"/>
        <v>0.84660000000000002</v>
      </c>
      <c r="F10" s="49">
        <f t="shared" si="0"/>
        <v>9.1999999999999993</v>
      </c>
      <c r="G10" s="50">
        <f t="shared" si="0"/>
        <v>48.274199999999993</v>
      </c>
      <c r="H10" s="49">
        <f t="shared" si="0"/>
        <v>0</v>
      </c>
      <c r="I10" s="50">
        <f t="shared" si="0"/>
        <v>98.584200000000024</v>
      </c>
      <c r="J10" s="50">
        <f t="shared" si="0"/>
        <v>536.52499999999998</v>
      </c>
      <c r="K10" s="62">
        <f t="shared" si="0"/>
        <v>799422250</v>
      </c>
      <c r="L10" s="49">
        <f t="shared" si="0"/>
        <v>0</v>
      </c>
      <c r="M10" s="49">
        <f t="shared" si="0"/>
        <v>389.47000000000008</v>
      </c>
      <c r="N10" s="50">
        <f t="shared" si="0"/>
        <v>0.84660000000000002</v>
      </c>
      <c r="O10" s="49">
        <f t="shared" si="0"/>
        <v>9.5500000000000007</v>
      </c>
      <c r="P10" s="50">
        <f t="shared" si="0"/>
        <v>52.964800000000011</v>
      </c>
      <c r="Q10" s="49">
        <f t="shared" si="0"/>
        <v>0</v>
      </c>
      <c r="R10" s="50">
        <f t="shared" si="0"/>
        <v>98.584200000000024</v>
      </c>
      <c r="S10" s="50">
        <f t="shared" si="0"/>
        <v>551.41559999999981</v>
      </c>
      <c r="T10" s="62">
        <f t="shared" si="0"/>
        <v>821609244</v>
      </c>
      <c r="U10" s="49">
        <f t="shared" si="0"/>
        <v>0</v>
      </c>
      <c r="V10" s="49">
        <f t="shared" si="0"/>
        <v>9.85</v>
      </c>
      <c r="W10" s="50">
        <f t="shared" si="0"/>
        <v>0</v>
      </c>
      <c r="X10" s="49">
        <f t="shared" si="0"/>
        <v>0.35</v>
      </c>
      <c r="Y10" s="50">
        <f t="shared" si="0"/>
        <v>4.6906000000000017</v>
      </c>
      <c r="Z10" s="49">
        <f t="shared" si="0"/>
        <v>0</v>
      </c>
      <c r="AA10" s="49">
        <f t="shared" si="0"/>
        <v>0</v>
      </c>
      <c r="AB10" s="50">
        <f t="shared" si="0"/>
        <v>0</v>
      </c>
      <c r="AC10" s="50">
        <f t="shared" si="0"/>
        <v>14.890599999999999</v>
      </c>
      <c r="AD10" s="62">
        <f t="shared" si="0"/>
        <v>22186994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>SUM(D12:D50)</f>
        <v>162.84</v>
      </c>
      <c r="E11" s="61">
        <f t="shared" ref="E11:AD11" si="1">SUM(E12:E50)</f>
        <v>0.84660000000000002</v>
      </c>
      <c r="F11" s="53">
        <f t="shared" si="1"/>
        <v>3.95</v>
      </c>
      <c r="G11" s="61">
        <f t="shared" si="1"/>
        <v>27.551100000000005</v>
      </c>
      <c r="H11" s="53">
        <f t="shared" si="1"/>
        <v>0</v>
      </c>
      <c r="I11" s="61">
        <f t="shared" si="1"/>
        <v>43.07670000000001</v>
      </c>
      <c r="J11" s="61">
        <f t="shared" si="1"/>
        <v>238.26440000000002</v>
      </c>
      <c r="K11" s="272">
        <f t="shared" si="1"/>
        <v>355013956</v>
      </c>
      <c r="L11" s="53">
        <f t="shared" si="1"/>
        <v>0</v>
      </c>
      <c r="M11" s="53">
        <f t="shared" si="1"/>
        <v>167.16000000000003</v>
      </c>
      <c r="N11" s="61">
        <f t="shared" si="1"/>
        <v>0.84660000000000002</v>
      </c>
      <c r="O11" s="53">
        <f t="shared" si="1"/>
        <v>4.3</v>
      </c>
      <c r="P11" s="61">
        <f t="shared" si="1"/>
        <v>30.021400000000003</v>
      </c>
      <c r="Q11" s="53">
        <f t="shared" si="1"/>
        <v>0</v>
      </c>
      <c r="R11" s="61">
        <f t="shared" si="1"/>
        <v>43.07670000000001</v>
      </c>
      <c r="S11" s="61">
        <f t="shared" si="1"/>
        <v>245.40469999999993</v>
      </c>
      <c r="T11" s="272">
        <f t="shared" si="1"/>
        <v>365653003</v>
      </c>
      <c r="U11" s="53">
        <f t="shared" si="1"/>
        <v>0</v>
      </c>
      <c r="V11" s="53">
        <f t="shared" si="1"/>
        <v>4.32</v>
      </c>
      <c r="W11" s="53">
        <f t="shared" si="1"/>
        <v>0</v>
      </c>
      <c r="X11" s="53">
        <f t="shared" si="1"/>
        <v>0.35</v>
      </c>
      <c r="Y11" s="61">
        <f t="shared" si="1"/>
        <v>2.4703000000000013</v>
      </c>
      <c r="Z11" s="53">
        <f t="shared" si="1"/>
        <v>0</v>
      </c>
      <c r="AA11" s="53">
        <f t="shared" si="1"/>
        <v>0</v>
      </c>
      <c r="AB11" s="53">
        <f t="shared" si="1"/>
        <v>0</v>
      </c>
      <c r="AC11" s="61">
        <f t="shared" si="1"/>
        <v>7.1403000000000008</v>
      </c>
      <c r="AD11" s="272">
        <f t="shared" si="1"/>
        <v>10639047</v>
      </c>
      <c r="AE11" s="51"/>
    </row>
    <row r="12" spans="1:31" ht="39.75" customHeight="1" x14ac:dyDescent="0.25">
      <c r="A12" s="96">
        <v>1</v>
      </c>
      <c r="B12" s="97" t="s">
        <v>247</v>
      </c>
      <c r="C12" s="96"/>
      <c r="D12" s="98">
        <v>4.9800000000000004</v>
      </c>
      <c r="E12" s="99">
        <f>ROUND(D12*11/100,4)</f>
        <v>0.54779999999999995</v>
      </c>
      <c r="F12" s="98">
        <v>0.45</v>
      </c>
      <c r="G12" s="99">
        <f>ROUND((D12+E12+F12)*16/100,4)</f>
        <v>0.95640000000000003</v>
      </c>
      <c r="H12" s="98"/>
      <c r="I12" s="99">
        <f>ROUND((D12+E12+F12)*25/100,4)</f>
        <v>1.4944999999999999</v>
      </c>
      <c r="J12" s="99">
        <f>ROUND(SUM(D12:I12),4)</f>
        <v>8.4286999999999992</v>
      </c>
      <c r="K12" s="100">
        <f>ROUND(J12*$B$6,4)</f>
        <v>12558763</v>
      </c>
      <c r="L12" s="98"/>
      <c r="M12" s="98">
        <v>4.9800000000000004</v>
      </c>
      <c r="N12" s="99">
        <f>ROUND(M12*11/100,4)</f>
        <v>0.54779999999999995</v>
      </c>
      <c r="O12" s="98">
        <v>0.45</v>
      </c>
      <c r="P12" s="99">
        <f>ROUND((M12+N12+O12)*17/100,4)</f>
        <v>1.0162</v>
      </c>
      <c r="Q12" s="98"/>
      <c r="R12" s="99">
        <f>ROUND((M12+N12+O12)*25/100,4)</f>
        <v>1.4944999999999999</v>
      </c>
      <c r="S12" s="99">
        <f>ROUND(SUM(M12:R12),4)</f>
        <v>8.4885000000000002</v>
      </c>
      <c r="T12" s="100">
        <f>ROUND(S12*$B$6,0)</f>
        <v>12647865</v>
      </c>
      <c r="U12" s="141" t="s">
        <v>31</v>
      </c>
      <c r="V12" s="98">
        <f t="shared" ref="V12:Y27" si="2">M12-D12</f>
        <v>0</v>
      </c>
      <c r="W12" s="99">
        <f t="shared" si="2"/>
        <v>0</v>
      </c>
      <c r="X12" s="98">
        <f t="shared" si="2"/>
        <v>0</v>
      </c>
      <c r="Y12" s="99">
        <f t="shared" si="2"/>
        <v>5.9799999999999964E-2</v>
      </c>
      <c r="Z12" s="98"/>
      <c r="AA12" s="98"/>
      <c r="AB12" s="99">
        <f>R12-I12</f>
        <v>0</v>
      </c>
      <c r="AC12" s="99">
        <f>SUM(V12:AB12)</f>
        <v>5.9799999999999964E-2</v>
      </c>
      <c r="AD12" s="100">
        <f>AC12*$B$6</f>
        <v>89101.999999999942</v>
      </c>
      <c r="AE12" s="84" t="s">
        <v>248</v>
      </c>
    </row>
    <row r="13" spans="1:31" ht="39.75" customHeight="1" x14ac:dyDescent="0.25">
      <c r="A13" s="96">
        <v>2</v>
      </c>
      <c r="B13" s="97" t="s">
        <v>250</v>
      </c>
      <c r="C13" s="96"/>
      <c r="D13" s="98">
        <v>4.6500000000000004</v>
      </c>
      <c r="E13" s="99"/>
      <c r="F13" s="98">
        <v>0.45</v>
      </c>
      <c r="G13" s="99">
        <f>ROUND((D13+E13+F13)*18/100,4)</f>
        <v>0.91800000000000004</v>
      </c>
      <c r="H13" s="98"/>
      <c r="I13" s="99">
        <f t="shared" ref="I13:I50" si="3">ROUND((D13+E13+F13)*25/100,4)</f>
        <v>1.2749999999999999</v>
      </c>
      <c r="J13" s="99">
        <f t="shared" ref="J13:J50" si="4">ROUND(SUM(D13:I13),4)</f>
        <v>7.2930000000000001</v>
      </c>
      <c r="K13" s="100">
        <f t="shared" ref="K13:K50" si="5">ROUND(J13*$B$6,4)</f>
        <v>10866570</v>
      </c>
      <c r="L13" s="98"/>
      <c r="M13" s="98">
        <v>4.6500000000000004</v>
      </c>
      <c r="N13" s="99"/>
      <c r="O13" s="98">
        <v>0.45</v>
      </c>
      <c r="P13" s="99">
        <f>ROUND((M13+N13+O13)*19/100,4)</f>
        <v>0.96899999999999997</v>
      </c>
      <c r="Q13" s="98"/>
      <c r="R13" s="99">
        <f t="shared" ref="R13:R50" si="6">ROUND((M13+N13+O13)*25/100,4)</f>
        <v>1.2749999999999999</v>
      </c>
      <c r="S13" s="99">
        <f t="shared" ref="S13:S50" si="7">ROUND(SUM(M13:R13),4)</f>
        <v>7.3440000000000003</v>
      </c>
      <c r="T13" s="100">
        <f t="shared" ref="T13:T50" si="8">ROUND(S13*$B$6,0)</f>
        <v>10942560</v>
      </c>
      <c r="U13" s="141" t="s">
        <v>31</v>
      </c>
      <c r="V13" s="98"/>
      <c r="W13" s="99"/>
      <c r="X13" s="98"/>
      <c r="Y13" s="99">
        <f t="shared" si="2"/>
        <v>5.0999999999999934E-2</v>
      </c>
      <c r="Z13" s="98"/>
      <c r="AA13" s="98"/>
      <c r="AB13" s="99"/>
      <c r="AC13" s="99">
        <f t="shared" ref="AC13:AC50" si="9">SUM(V13:AB13)</f>
        <v>5.0999999999999934E-2</v>
      </c>
      <c r="AD13" s="100">
        <f t="shared" ref="AD13:AD50" si="10">AC13*$B$6</f>
        <v>75989.999999999898</v>
      </c>
      <c r="AE13" s="84" t="s">
        <v>251</v>
      </c>
    </row>
    <row r="14" spans="1:31" ht="39.75" customHeight="1" x14ac:dyDescent="0.25">
      <c r="A14" s="96">
        <v>3</v>
      </c>
      <c r="B14" s="97" t="s">
        <v>252</v>
      </c>
      <c r="C14" s="96"/>
      <c r="D14" s="98">
        <v>4.6500000000000004</v>
      </c>
      <c r="E14" s="99"/>
      <c r="F14" s="98">
        <v>0.45</v>
      </c>
      <c r="G14" s="99">
        <f>ROUND((D14+E14+F14)*17/100,4)</f>
        <v>0.86699999999999999</v>
      </c>
      <c r="H14" s="98"/>
      <c r="I14" s="99">
        <f t="shared" si="3"/>
        <v>1.2749999999999999</v>
      </c>
      <c r="J14" s="99">
        <f t="shared" si="4"/>
        <v>7.242</v>
      </c>
      <c r="K14" s="100">
        <f t="shared" si="5"/>
        <v>10790580</v>
      </c>
      <c r="L14" s="98"/>
      <c r="M14" s="98">
        <v>4.6500000000000004</v>
      </c>
      <c r="N14" s="99"/>
      <c r="O14" s="98">
        <v>0.45</v>
      </c>
      <c r="P14" s="99">
        <f>ROUND((M14+N14+O14)*18/100,4)</f>
        <v>0.91800000000000004</v>
      </c>
      <c r="Q14" s="98"/>
      <c r="R14" s="99">
        <f t="shared" si="6"/>
        <v>1.2749999999999999</v>
      </c>
      <c r="S14" s="99">
        <f t="shared" si="7"/>
        <v>7.2930000000000001</v>
      </c>
      <c r="T14" s="100">
        <f t="shared" si="8"/>
        <v>10866570</v>
      </c>
      <c r="U14" s="141" t="s">
        <v>31</v>
      </c>
      <c r="V14" s="98"/>
      <c r="W14" s="99"/>
      <c r="X14" s="98"/>
      <c r="Y14" s="99">
        <f t="shared" si="2"/>
        <v>5.1000000000000045E-2</v>
      </c>
      <c r="Z14" s="98"/>
      <c r="AA14" s="98"/>
      <c r="AB14" s="99"/>
      <c r="AC14" s="99">
        <f t="shared" si="9"/>
        <v>5.1000000000000045E-2</v>
      </c>
      <c r="AD14" s="100">
        <f t="shared" si="10"/>
        <v>75990.000000000073</v>
      </c>
      <c r="AE14" s="84" t="s">
        <v>253</v>
      </c>
    </row>
    <row r="15" spans="1:31" ht="39.75" customHeight="1" x14ac:dyDescent="0.25">
      <c r="A15" s="96">
        <v>4</v>
      </c>
      <c r="B15" s="97" t="s">
        <v>254</v>
      </c>
      <c r="C15" s="96"/>
      <c r="D15" s="98">
        <v>3.99</v>
      </c>
      <c r="E15" s="99"/>
      <c r="F15" s="98">
        <v>0.45</v>
      </c>
      <c r="G15" s="99">
        <f>ROUND((D15+E15+F15)*14/100,4)</f>
        <v>0.62160000000000004</v>
      </c>
      <c r="H15" s="98"/>
      <c r="I15" s="99">
        <f t="shared" si="3"/>
        <v>1.1100000000000001</v>
      </c>
      <c r="J15" s="99">
        <f t="shared" si="4"/>
        <v>6.1715999999999998</v>
      </c>
      <c r="K15" s="100">
        <f t="shared" si="5"/>
        <v>9195684</v>
      </c>
      <c r="L15" s="98"/>
      <c r="M15" s="98">
        <v>3.99</v>
      </c>
      <c r="N15" s="99"/>
      <c r="O15" s="98">
        <v>0.45</v>
      </c>
      <c r="P15" s="99">
        <f>ROUND((M15+N15+O15)*15/100,4)</f>
        <v>0.66600000000000004</v>
      </c>
      <c r="Q15" s="98"/>
      <c r="R15" s="99">
        <f t="shared" si="6"/>
        <v>1.1100000000000001</v>
      </c>
      <c r="S15" s="99">
        <f t="shared" si="7"/>
        <v>6.2160000000000002</v>
      </c>
      <c r="T15" s="100">
        <f t="shared" si="8"/>
        <v>9261840</v>
      </c>
      <c r="U15" s="141" t="s">
        <v>31</v>
      </c>
      <c r="V15" s="98"/>
      <c r="W15" s="99"/>
      <c r="X15" s="98"/>
      <c r="Y15" s="99">
        <f t="shared" si="2"/>
        <v>4.4399999999999995E-2</v>
      </c>
      <c r="Z15" s="98"/>
      <c r="AA15" s="98"/>
      <c r="AB15" s="99"/>
      <c r="AC15" s="99">
        <f t="shared" si="9"/>
        <v>4.4399999999999995E-2</v>
      </c>
      <c r="AD15" s="100">
        <f t="shared" si="10"/>
        <v>66155.999999999985</v>
      </c>
      <c r="AE15" s="84" t="s">
        <v>255</v>
      </c>
    </row>
    <row r="16" spans="1:31" ht="39.75" customHeight="1" x14ac:dyDescent="0.25">
      <c r="A16" s="96">
        <v>5</v>
      </c>
      <c r="B16" s="97" t="s">
        <v>256</v>
      </c>
      <c r="C16" s="96"/>
      <c r="D16" s="98">
        <v>4.6500000000000004</v>
      </c>
      <c r="E16" s="99"/>
      <c r="F16" s="98">
        <v>0.25</v>
      </c>
      <c r="G16" s="99">
        <f>ROUND((D16+E16+F16)*17/100,4)</f>
        <v>0.83299999999999996</v>
      </c>
      <c r="H16" s="98"/>
      <c r="I16" s="99">
        <f t="shared" si="3"/>
        <v>1.2250000000000001</v>
      </c>
      <c r="J16" s="99">
        <f t="shared" si="4"/>
        <v>6.9580000000000002</v>
      </c>
      <c r="K16" s="100">
        <f t="shared" si="5"/>
        <v>10367420</v>
      </c>
      <c r="L16" s="98"/>
      <c r="M16" s="98">
        <v>4.6500000000000004</v>
      </c>
      <c r="N16" s="99"/>
      <c r="O16" s="98">
        <v>0.25</v>
      </c>
      <c r="P16" s="99">
        <f>ROUND((M16+N16+O16)*18/100,4)</f>
        <v>0.88200000000000001</v>
      </c>
      <c r="Q16" s="98"/>
      <c r="R16" s="99">
        <f t="shared" si="6"/>
        <v>1.2250000000000001</v>
      </c>
      <c r="S16" s="99">
        <f t="shared" si="7"/>
        <v>7.0069999999999997</v>
      </c>
      <c r="T16" s="100">
        <f t="shared" si="8"/>
        <v>10440430</v>
      </c>
      <c r="U16" s="141" t="s">
        <v>31</v>
      </c>
      <c r="V16" s="98"/>
      <c r="W16" s="99"/>
      <c r="X16" s="98"/>
      <c r="Y16" s="99">
        <f t="shared" si="2"/>
        <v>4.9000000000000044E-2</v>
      </c>
      <c r="Z16" s="98"/>
      <c r="AA16" s="98"/>
      <c r="AB16" s="99"/>
      <c r="AC16" s="99">
        <f t="shared" si="9"/>
        <v>4.9000000000000044E-2</v>
      </c>
      <c r="AD16" s="100">
        <f t="shared" si="10"/>
        <v>73010.000000000058</v>
      </c>
      <c r="AE16" s="84" t="s">
        <v>253</v>
      </c>
    </row>
    <row r="17" spans="1:31" ht="39.75" customHeight="1" x14ac:dyDescent="0.25">
      <c r="A17" s="96">
        <v>6</v>
      </c>
      <c r="B17" s="97" t="s">
        <v>153</v>
      </c>
      <c r="C17" s="96"/>
      <c r="D17" s="98">
        <v>4.32</v>
      </c>
      <c r="E17" s="99"/>
      <c r="F17" s="98">
        <v>0.7</v>
      </c>
      <c r="G17" s="99">
        <f t="shared" ref="G17:G21" si="11">ROUND((D17+E17+F17)*16/100,4)</f>
        <v>0.80320000000000003</v>
      </c>
      <c r="H17" s="98"/>
      <c r="I17" s="99">
        <f t="shared" si="3"/>
        <v>1.2549999999999999</v>
      </c>
      <c r="J17" s="99">
        <f t="shared" si="4"/>
        <v>7.0781999999999998</v>
      </c>
      <c r="K17" s="100">
        <f t="shared" si="5"/>
        <v>10546518</v>
      </c>
      <c r="L17" s="98"/>
      <c r="M17" s="98">
        <v>4.32</v>
      </c>
      <c r="N17" s="99"/>
      <c r="O17" s="98">
        <v>0.7</v>
      </c>
      <c r="P17" s="99">
        <f t="shared" ref="P17:P21" si="12">ROUND((M17+N17+O17)*17/100,4)</f>
        <v>0.85340000000000005</v>
      </c>
      <c r="Q17" s="98"/>
      <c r="R17" s="99">
        <f t="shared" si="6"/>
        <v>1.2549999999999999</v>
      </c>
      <c r="S17" s="99">
        <f t="shared" si="7"/>
        <v>7.1284000000000001</v>
      </c>
      <c r="T17" s="100">
        <f t="shared" si="8"/>
        <v>10621316</v>
      </c>
      <c r="U17" s="141" t="s">
        <v>31</v>
      </c>
      <c r="V17" s="98"/>
      <c r="W17" s="99"/>
      <c r="X17" s="98"/>
      <c r="Y17" s="99">
        <f t="shared" si="2"/>
        <v>5.0200000000000022E-2</v>
      </c>
      <c r="Z17" s="98"/>
      <c r="AA17" s="98"/>
      <c r="AB17" s="99"/>
      <c r="AC17" s="99">
        <f t="shared" si="9"/>
        <v>5.0200000000000022E-2</v>
      </c>
      <c r="AD17" s="100">
        <f t="shared" si="10"/>
        <v>74798.000000000029</v>
      </c>
      <c r="AE17" s="84" t="s">
        <v>248</v>
      </c>
    </row>
    <row r="18" spans="1:31" ht="39.75" customHeight="1" x14ac:dyDescent="0.25">
      <c r="A18" s="96">
        <v>7</v>
      </c>
      <c r="B18" s="97" t="s">
        <v>257</v>
      </c>
      <c r="C18" s="96"/>
      <c r="D18" s="98">
        <v>3.99</v>
      </c>
      <c r="E18" s="99"/>
      <c r="F18" s="98">
        <v>0.25</v>
      </c>
      <c r="G18" s="99">
        <f>ROUND((D18+E18+F18)*15/100,4)</f>
        <v>0.63600000000000001</v>
      </c>
      <c r="H18" s="98"/>
      <c r="I18" s="99">
        <f t="shared" si="3"/>
        <v>1.06</v>
      </c>
      <c r="J18" s="99">
        <f t="shared" si="4"/>
        <v>5.9359999999999999</v>
      </c>
      <c r="K18" s="100">
        <f t="shared" si="5"/>
        <v>8844640</v>
      </c>
      <c r="L18" s="98"/>
      <c r="M18" s="98">
        <v>3.99</v>
      </c>
      <c r="N18" s="99"/>
      <c r="O18" s="98">
        <v>0.25</v>
      </c>
      <c r="P18" s="99">
        <f>ROUND((M18+N18+O18)*16/100,4)</f>
        <v>0.6784</v>
      </c>
      <c r="Q18" s="98"/>
      <c r="R18" s="99">
        <f t="shared" si="6"/>
        <v>1.06</v>
      </c>
      <c r="S18" s="99">
        <f t="shared" si="7"/>
        <v>5.9783999999999997</v>
      </c>
      <c r="T18" s="100">
        <f t="shared" si="8"/>
        <v>8907816</v>
      </c>
      <c r="U18" s="141" t="s">
        <v>31</v>
      </c>
      <c r="V18" s="98"/>
      <c r="W18" s="99"/>
      <c r="X18" s="98"/>
      <c r="Y18" s="99">
        <f t="shared" si="2"/>
        <v>4.2399999999999993E-2</v>
      </c>
      <c r="Z18" s="98"/>
      <c r="AA18" s="98"/>
      <c r="AB18" s="99"/>
      <c r="AC18" s="99">
        <f t="shared" si="9"/>
        <v>4.2399999999999993E-2</v>
      </c>
      <c r="AD18" s="100">
        <f t="shared" si="10"/>
        <v>63175.999999999993</v>
      </c>
      <c r="AE18" s="84" t="s">
        <v>258</v>
      </c>
    </row>
    <row r="19" spans="1:31" ht="39.75" customHeight="1" x14ac:dyDescent="0.25">
      <c r="A19" s="96">
        <v>8</v>
      </c>
      <c r="B19" s="97" t="s">
        <v>259</v>
      </c>
      <c r="C19" s="96"/>
      <c r="D19" s="98">
        <v>4.6500000000000004</v>
      </c>
      <c r="E19" s="99"/>
      <c r="F19" s="98"/>
      <c r="G19" s="99">
        <f>ROUND((D19+E19+F19)*18/100,4)</f>
        <v>0.83699999999999997</v>
      </c>
      <c r="H19" s="98"/>
      <c r="I19" s="99">
        <f t="shared" si="3"/>
        <v>1.1625000000000001</v>
      </c>
      <c r="J19" s="99">
        <f t="shared" si="4"/>
        <v>6.6494999999999997</v>
      </c>
      <c r="K19" s="100">
        <f t="shared" si="5"/>
        <v>9907755</v>
      </c>
      <c r="L19" s="98"/>
      <c r="M19" s="98">
        <v>4.6500000000000004</v>
      </c>
      <c r="N19" s="99"/>
      <c r="O19" s="98"/>
      <c r="P19" s="99">
        <f>ROUND((M19+N19+O19)*19/100,4)</f>
        <v>0.88349999999999995</v>
      </c>
      <c r="Q19" s="98"/>
      <c r="R19" s="99">
        <f t="shared" si="6"/>
        <v>1.1625000000000001</v>
      </c>
      <c r="S19" s="99">
        <f t="shared" si="7"/>
        <v>6.6959999999999997</v>
      </c>
      <c r="T19" s="100">
        <f t="shared" si="8"/>
        <v>9977040</v>
      </c>
      <c r="U19" s="141" t="s">
        <v>31</v>
      </c>
      <c r="V19" s="98"/>
      <c r="W19" s="99"/>
      <c r="X19" s="98"/>
      <c r="Y19" s="99">
        <f t="shared" si="2"/>
        <v>4.6499999999999986E-2</v>
      </c>
      <c r="Z19" s="98"/>
      <c r="AA19" s="98"/>
      <c r="AB19" s="99"/>
      <c r="AC19" s="99">
        <f t="shared" si="9"/>
        <v>4.6499999999999986E-2</v>
      </c>
      <c r="AD19" s="100">
        <f t="shared" si="10"/>
        <v>69284.999999999985</v>
      </c>
      <c r="AE19" s="84" t="s">
        <v>251</v>
      </c>
    </row>
    <row r="20" spans="1:31" ht="39.75" customHeight="1" x14ac:dyDescent="0.25">
      <c r="A20" s="96">
        <v>9</v>
      </c>
      <c r="B20" s="97" t="s">
        <v>260</v>
      </c>
      <c r="C20" s="96"/>
      <c r="D20" s="98">
        <v>4.32</v>
      </c>
      <c r="E20" s="99"/>
      <c r="F20" s="98"/>
      <c r="G20" s="99">
        <f t="shared" si="11"/>
        <v>0.69120000000000004</v>
      </c>
      <c r="H20" s="98"/>
      <c r="I20" s="99">
        <f t="shared" si="3"/>
        <v>1.08</v>
      </c>
      <c r="J20" s="99">
        <f t="shared" si="4"/>
        <v>6.0911999999999997</v>
      </c>
      <c r="K20" s="100">
        <f t="shared" si="5"/>
        <v>9075888</v>
      </c>
      <c r="L20" s="98"/>
      <c r="M20" s="98">
        <v>4.32</v>
      </c>
      <c r="N20" s="99"/>
      <c r="O20" s="98"/>
      <c r="P20" s="99">
        <f t="shared" si="12"/>
        <v>0.73440000000000005</v>
      </c>
      <c r="Q20" s="98"/>
      <c r="R20" s="99">
        <f t="shared" si="6"/>
        <v>1.08</v>
      </c>
      <c r="S20" s="99">
        <f t="shared" si="7"/>
        <v>6.1344000000000003</v>
      </c>
      <c r="T20" s="100">
        <f t="shared" si="8"/>
        <v>9140256</v>
      </c>
      <c r="U20" s="141" t="s">
        <v>31</v>
      </c>
      <c r="V20" s="98"/>
      <c r="W20" s="99"/>
      <c r="X20" s="98"/>
      <c r="Y20" s="99">
        <f t="shared" si="2"/>
        <v>4.3200000000000016E-2</v>
      </c>
      <c r="Z20" s="98"/>
      <c r="AA20" s="98"/>
      <c r="AB20" s="99"/>
      <c r="AC20" s="99">
        <f t="shared" si="9"/>
        <v>4.3200000000000016E-2</v>
      </c>
      <c r="AD20" s="100">
        <f t="shared" si="10"/>
        <v>64368.000000000022</v>
      </c>
      <c r="AE20" s="84" t="s">
        <v>248</v>
      </c>
    </row>
    <row r="21" spans="1:31" ht="39.75" customHeight="1" x14ac:dyDescent="0.25">
      <c r="A21" s="96">
        <v>10</v>
      </c>
      <c r="B21" s="97" t="s">
        <v>261</v>
      </c>
      <c r="C21" s="96"/>
      <c r="D21" s="98">
        <v>3.99</v>
      </c>
      <c r="E21" s="99"/>
      <c r="F21" s="98"/>
      <c r="G21" s="99">
        <f t="shared" si="11"/>
        <v>0.63839999999999997</v>
      </c>
      <c r="H21" s="98"/>
      <c r="I21" s="99">
        <f t="shared" si="3"/>
        <v>0.99750000000000005</v>
      </c>
      <c r="J21" s="99">
        <f t="shared" si="4"/>
        <v>5.6258999999999997</v>
      </c>
      <c r="K21" s="100">
        <f t="shared" si="5"/>
        <v>8382591</v>
      </c>
      <c r="L21" s="98"/>
      <c r="M21" s="98">
        <v>3.99</v>
      </c>
      <c r="N21" s="99"/>
      <c r="O21" s="98"/>
      <c r="P21" s="99">
        <f t="shared" si="12"/>
        <v>0.67830000000000001</v>
      </c>
      <c r="Q21" s="98"/>
      <c r="R21" s="99">
        <f t="shared" si="6"/>
        <v>0.99750000000000005</v>
      </c>
      <c r="S21" s="99">
        <f t="shared" si="7"/>
        <v>5.6657999999999999</v>
      </c>
      <c r="T21" s="100">
        <f t="shared" si="8"/>
        <v>8442042</v>
      </c>
      <c r="U21" s="141" t="s">
        <v>31</v>
      </c>
      <c r="V21" s="98"/>
      <c r="W21" s="99"/>
      <c r="X21" s="98"/>
      <c r="Y21" s="99">
        <f t="shared" si="2"/>
        <v>3.9900000000000047E-2</v>
      </c>
      <c r="Z21" s="98"/>
      <c r="AA21" s="98"/>
      <c r="AB21" s="99"/>
      <c r="AC21" s="99">
        <f t="shared" si="9"/>
        <v>3.9900000000000047E-2</v>
      </c>
      <c r="AD21" s="100">
        <f t="shared" si="10"/>
        <v>59451.000000000073</v>
      </c>
      <c r="AE21" s="84" t="s">
        <v>248</v>
      </c>
    </row>
    <row r="22" spans="1:31" ht="39.75" customHeight="1" x14ac:dyDescent="0.25">
      <c r="A22" s="96">
        <v>11</v>
      </c>
      <c r="B22" s="97" t="s">
        <v>262</v>
      </c>
      <c r="C22" s="96"/>
      <c r="D22" s="98">
        <v>3.99</v>
      </c>
      <c r="E22" s="99"/>
      <c r="F22" s="98"/>
      <c r="G22" s="99">
        <f>ROUND((D22+E22+F22)*15/100,4)</f>
        <v>0.59850000000000003</v>
      </c>
      <c r="H22" s="98"/>
      <c r="I22" s="99">
        <f t="shared" si="3"/>
        <v>0.99750000000000005</v>
      </c>
      <c r="J22" s="99">
        <f t="shared" si="4"/>
        <v>5.5860000000000003</v>
      </c>
      <c r="K22" s="100">
        <f t="shared" si="5"/>
        <v>8323140</v>
      </c>
      <c r="L22" s="98"/>
      <c r="M22" s="98">
        <v>3.99</v>
      </c>
      <c r="N22" s="99"/>
      <c r="O22" s="98"/>
      <c r="P22" s="99">
        <f>ROUND((M22+N22+O22)*16/100,4)</f>
        <v>0.63839999999999997</v>
      </c>
      <c r="Q22" s="98"/>
      <c r="R22" s="99">
        <f t="shared" si="6"/>
        <v>0.99750000000000005</v>
      </c>
      <c r="S22" s="99">
        <f t="shared" si="7"/>
        <v>5.6258999999999997</v>
      </c>
      <c r="T22" s="100">
        <f t="shared" si="8"/>
        <v>8382591</v>
      </c>
      <c r="U22" s="141" t="s">
        <v>31</v>
      </c>
      <c r="V22" s="98"/>
      <c r="W22" s="99"/>
      <c r="X22" s="98"/>
      <c r="Y22" s="99">
        <f t="shared" si="2"/>
        <v>3.9899999999999936E-2</v>
      </c>
      <c r="Z22" s="98"/>
      <c r="AA22" s="98"/>
      <c r="AB22" s="99"/>
      <c r="AC22" s="99">
        <f t="shared" si="9"/>
        <v>3.9899999999999936E-2</v>
      </c>
      <c r="AD22" s="100">
        <f t="shared" si="10"/>
        <v>59450.999999999905</v>
      </c>
      <c r="AE22" s="84" t="s">
        <v>258</v>
      </c>
    </row>
    <row r="23" spans="1:31" ht="39.75" customHeight="1" x14ac:dyDescent="0.25">
      <c r="A23" s="96">
        <v>12</v>
      </c>
      <c r="B23" s="97" t="s">
        <v>263</v>
      </c>
      <c r="C23" s="96"/>
      <c r="D23" s="98">
        <v>3.99</v>
      </c>
      <c r="E23" s="99"/>
      <c r="F23" s="98"/>
      <c r="G23" s="99">
        <f>ROUND((D23+E23+F23)*15/100,4)</f>
        <v>0.59850000000000003</v>
      </c>
      <c r="H23" s="98"/>
      <c r="I23" s="99">
        <f t="shared" si="3"/>
        <v>0.99750000000000005</v>
      </c>
      <c r="J23" s="99">
        <f t="shared" si="4"/>
        <v>5.5860000000000003</v>
      </c>
      <c r="K23" s="100">
        <f t="shared" si="5"/>
        <v>8323140</v>
      </c>
      <c r="L23" s="98"/>
      <c r="M23" s="98">
        <v>3.99</v>
      </c>
      <c r="N23" s="99"/>
      <c r="O23" s="98"/>
      <c r="P23" s="99">
        <f>ROUND((M23+N23+O23)*16/100,4)</f>
        <v>0.63839999999999997</v>
      </c>
      <c r="Q23" s="98"/>
      <c r="R23" s="99">
        <f t="shared" si="6"/>
        <v>0.99750000000000005</v>
      </c>
      <c r="S23" s="99">
        <f t="shared" si="7"/>
        <v>5.6258999999999997</v>
      </c>
      <c r="T23" s="100">
        <f t="shared" si="8"/>
        <v>8382591</v>
      </c>
      <c r="U23" s="141" t="s">
        <v>31</v>
      </c>
      <c r="V23" s="98"/>
      <c r="W23" s="99"/>
      <c r="X23" s="98"/>
      <c r="Y23" s="99">
        <f t="shared" si="2"/>
        <v>3.9899999999999936E-2</v>
      </c>
      <c r="Z23" s="98"/>
      <c r="AA23" s="98"/>
      <c r="AB23" s="99"/>
      <c r="AC23" s="99">
        <f t="shared" si="9"/>
        <v>3.9899999999999936E-2</v>
      </c>
      <c r="AD23" s="100">
        <f t="shared" si="10"/>
        <v>59450.999999999905</v>
      </c>
      <c r="AE23" s="84" t="s">
        <v>258</v>
      </c>
    </row>
    <row r="24" spans="1:31" ht="39.75" customHeight="1" x14ac:dyDescent="0.25">
      <c r="A24" s="96">
        <v>13</v>
      </c>
      <c r="B24" s="97" t="s">
        <v>264</v>
      </c>
      <c r="C24" s="96"/>
      <c r="D24" s="98">
        <v>3.99</v>
      </c>
      <c r="E24" s="99"/>
      <c r="F24" s="98"/>
      <c r="G24" s="99">
        <f>ROUND((D24+E24+F24)*14/100,4)</f>
        <v>0.55859999999999999</v>
      </c>
      <c r="H24" s="98"/>
      <c r="I24" s="99">
        <f t="shared" si="3"/>
        <v>0.99750000000000005</v>
      </c>
      <c r="J24" s="99">
        <f t="shared" si="4"/>
        <v>5.5461</v>
      </c>
      <c r="K24" s="100">
        <f t="shared" si="5"/>
        <v>8263689</v>
      </c>
      <c r="L24" s="98"/>
      <c r="M24" s="98">
        <v>3.99</v>
      </c>
      <c r="N24" s="99"/>
      <c r="O24" s="98"/>
      <c r="P24" s="99">
        <f>ROUND((M24+N24+O24)*15/100,4)</f>
        <v>0.59850000000000003</v>
      </c>
      <c r="Q24" s="98"/>
      <c r="R24" s="99">
        <f t="shared" si="6"/>
        <v>0.99750000000000005</v>
      </c>
      <c r="S24" s="99">
        <f t="shared" si="7"/>
        <v>5.5860000000000003</v>
      </c>
      <c r="T24" s="100">
        <f t="shared" si="8"/>
        <v>8323140</v>
      </c>
      <c r="U24" s="141" t="s">
        <v>31</v>
      </c>
      <c r="V24" s="98"/>
      <c r="W24" s="99"/>
      <c r="X24" s="98"/>
      <c r="Y24" s="99">
        <f t="shared" si="2"/>
        <v>3.9900000000000047E-2</v>
      </c>
      <c r="Z24" s="98"/>
      <c r="AA24" s="98"/>
      <c r="AB24" s="99"/>
      <c r="AC24" s="99">
        <f t="shared" si="9"/>
        <v>3.9900000000000047E-2</v>
      </c>
      <c r="AD24" s="100">
        <f t="shared" si="10"/>
        <v>59451.000000000073</v>
      </c>
      <c r="AE24" s="84" t="s">
        <v>255</v>
      </c>
    </row>
    <row r="25" spans="1:31" ht="39.75" customHeight="1" x14ac:dyDescent="0.25">
      <c r="A25" s="96">
        <v>14</v>
      </c>
      <c r="B25" s="97" t="s">
        <v>265</v>
      </c>
      <c r="C25" s="96"/>
      <c r="D25" s="98">
        <v>3.99</v>
      </c>
      <c r="E25" s="99"/>
      <c r="F25" s="98"/>
      <c r="G25" s="99">
        <f>ROUND((D25+E25+F25)*15/100,4)</f>
        <v>0.59850000000000003</v>
      </c>
      <c r="H25" s="98"/>
      <c r="I25" s="99">
        <f t="shared" si="3"/>
        <v>0.99750000000000005</v>
      </c>
      <c r="J25" s="99">
        <f t="shared" si="4"/>
        <v>5.5860000000000003</v>
      </c>
      <c r="K25" s="100">
        <f t="shared" si="5"/>
        <v>8323140</v>
      </c>
      <c r="L25" s="98"/>
      <c r="M25" s="98">
        <v>3.99</v>
      </c>
      <c r="N25" s="99"/>
      <c r="O25" s="98"/>
      <c r="P25" s="99">
        <f>ROUND((M25+N25+O25)*16/100,4)</f>
        <v>0.63839999999999997</v>
      </c>
      <c r="Q25" s="98"/>
      <c r="R25" s="99">
        <f t="shared" si="6"/>
        <v>0.99750000000000005</v>
      </c>
      <c r="S25" s="99">
        <f t="shared" si="7"/>
        <v>5.6258999999999997</v>
      </c>
      <c r="T25" s="100">
        <f t="shared" si="8"/>
        <v>8382591</v>
      </c>
      <c r="U25" s="141" t="s">
        <v>31</v>
      </c>
      <c r="V25" s="98"/>
      <c r="W25" s="99"/>
      <c r="X25" s="98"/>
      <c r="Y25" s="99">
        <f t="shared" si="2"/>
        <v>3.9899999999999936E-2</v>
      </c>
      <c r="Z25" s="98"/>
      <c r="AA25" s="98"/>
      <c r="AB25" s="99"/>
      <c r="AC25" s="99">
        <f t="shared" si="9"/>
        <v>3.9899999999999936E-2</v>
      </c>
      <c r="AD25" s="100">
        <f t="shared" si="10"/>
        <v>59450.999999999905</v>
      </c>
      <c r="AE25" s="84" t="s">
        <v>258</v>
      </c>
    </row>
    <row r="26" spans="1:31" ht="39.75" customHeight="1" x14ac:dyDescent="0.25">
      <c r="A26" s="96">
        <v>15</v>
      </c>
      <c r="B26" s="97" t="s">
        <v>266</v>
      </c>
      <c r="C26" s="96"/>
      <c r="D26" s="98">
        <v>3.99</v>
      </c>
      <c r="E26" s="99"/>
      <c r="F26" s="98"/>
      <c r="G26" s="99">
        <f>ROUND((D26+E26+F26)*14/100,4)</f>
        <v>0.55859999999999999</v>
      </c>
      <c r="H26" s="98"/>
      <c r="I26" s="99">
        <f t="shared" si="3"/>
        <v>0.99750000000000005</v>
      </c>
      <c r="J26" s="99">
        <f t="shared" si="4"/>
        <v>5.5461</v>
      </c>
      <c r="K26" s="100">
        <f t="shared" si="5"/>
        <v>8263689</v>
      </c>
      <c r="L26" s="98"/>
      <c r="M26" s="98">
        <v>3.99</v>
      </c>
      <c r="N26" s="99"/>
      <c r="O26" s="98"/>
      <c r="P26" s="99">
        <f>ROUND((M26+N26+O26)*15/100,4)</f>
        <v>0.59850000000000003</v>
      </c>
      <c r="Q26" s="98"/>
      <c r="R26" s="99">
        <f t="shared" si="6"/>
        <v>0.99750000000000005</v>
      </c>
      <c r="S26" s="99">
        <f t="shared" si="7"/>
        <v>5.5860000000000003</v>
      </c>
      <c r="T26" s="100">
        <f t="shared" si="8"/>
        <v>8323140</v>
      </c>
      <c r="U26" s="141" t="s">
        <v>31</v>
      </c>
      <c r="V26" s="98"/>
      <c r="W26" s="99"/>
      <c r="X26" s="98"/>
      <c r="Y26" s="99">
        <f t="shared" si="2"/>
        <v>3.9900000000000047E-2</v>
      </c>
      <c r="Z26" s="98"/>
      <c r="AA26" s="98"/>
      <c r="AB26" s="99"/>
      <c r="AC26" s="99">
        <f t="shared" si="9"/>
        <v>3.9900000000000047E-2</v>
      </c>
      <c r="AD26" s="100">
        <f t="shared" si="10"/>
        <v>59451.000000000073</v>
      </c>
      <c r="AE26" s="84" t="s">
        <v>255</v>
      </c>
    </row>
    <row r="27" spans="1:31" ht="39.75" customHeight="1" x14ac:dyDescent="0.25">
      <c r="A27" s="96">
        <v>16</v>
      </c>
      <c r="B27" s="97" t="s">
        <v>270</v>
      </c>
      <c r="C27" s="96"/>
      <c r="D27" s="98">
        <v>3.99</v>
      </c>
      <c r="E27" s="99"/>
      <c r="F27" s="98"/>
      <c r="G27" s="99">
        <f>ROUND((D27+E27+F27)*14/100,4)</f>
        <v>0.55859999999999999</v>
      </c>
      <c r="H27" s="98"/>
      <c r="I27" s="99">
        <f t="shared" si="3"/>
        <v>0.99750000000000005</v>
      </c>
      <c r="J27" s="99">
        <f t="shared" si="4"/>
        <v>5.5461</v>
      </c>
      <c r="K27" s="100">
        <f t="shared" si="5"/>
        <v>8263689</v>
      </c>
      <c r="L27" s="98"/>
      <c r="M27" s="98">
        <v>3.99</v>
      </c>
      <c r="N27" s="99"/>
      <c r="O27" s="98"/>
      <c r="P27" s="99">
        <f>ROUND((M27+N27+O27)*15/100,4)</f>
        <v>0.59850000000000003</v>
      </c>
      <c r="Q27" s="98"/>
      <c r="R27" s="99">
        <f t="shared" si="6"/>
        <v>0.99750000000000005</v>
      </c>
      <c r="S27" s="99">
        <f t="shared" si="7"/>
        <v>5.5860000000000003</v>
      </c>
      <c r="T27" s="100">
        <f t="shared" si="8"/>
        <v>8323140</v>
      </c>
      <c r="U27" s="141" t="s">
        <v>31</v>
      </c>
      <c r="V27" s="98"/>
      <c r="W27" s="99"/>
      <c r="X27" s="98"/>
      <c r="Y27" s="99">
        <f t="shared" si="2"/>
        <v>3.9900000000000047E-2</v>
      </c>
      <c r="Z27" s="98"/>
      <c r="AA27" s="98"/>
      <c r="AB27" s="99"/>
      <c r="AC27" s="99">
        <f t="shared" si="9"/>
        <v>3.9900000000000047E-2</v>
      </c>
      <c r="AD27" s="100">
        <f t="shared" si="10"/>
        <v>59451.000000000073</v>
      </c>
      <c r="AE27" s="84" t="s">
        <v>255</v>
      </c>
    </row>
    <row r="28" spans="1:31" ht="39.75" customHeight="1" x14ac:dyDescent="0.25">
      <c r="A28" s="96">
        <v>17</v>
      </c>
      <c r="B28" s="97" t="s">
        <v>271</v>
      </c>
      <c r="C28" s="96"/>
      <c r="D28" s="98">
        <v>3.99</v>
      </c>
      <c r="E28" s="99"/>
      <c r="F28" s="98"/>
      <c r="G28" s="99">
        <f>ROUND((D28+E28+F28)*14/100,4)</f>
        <v>0.55859999999999999</v>
      </c>
      <c r="H28" s="98"/>
      <c r="I28" s="99">
        <f t="shared" si="3"/>
        <v>0.99750000000000005</v>
      </c>
      <c r="J28" s="99">
        <f t="shared" si="4"/>
        <v>5.5461</v>
      </c>
      <c r="K28" s="100">
        <f t="shared" si="5"/>
        <v>8263689</v>
      </c>
      <c r="L28" s="98"/>
      <c r="M28" s="98">
        <v>3.99</v>
      </c>
      <c r="N28" s="99"/>
      <c r="O28" s="98"/>
      <c r="P28" s="99">
        <f>ROUND((M28+N28+O28)*15/100,4)</f>
        <v>0.59850000000000003</v>
      </c>
      <c r="Q28" s="98"/>
      <c r="R28" s="99">
        <f t="shared" si="6"/>
        <v>0.99750000000000005</v>
      </c>
      <c r="S28" s="99">
        <f t="shared" si="7"/>
        <v>5.5860000000000003</v>
      </c>
      <c r="T28" s="100">
        <f t="shared" si="8"/>
        <v>8323140</v>
      </c>
      <c r="U28" s="141" t="s">
        <v>31</v>
      </c>
      <c r="V28" s="98"/>
      <c r="W28" s="99"/>
      <c r="X28" s="98"/>
      <c r="Y28" s="99">
        <f t="shared" ref="Y28:Y50" si="13">P28-G28</f>
        <v>3.9900000000000047E-2</v>
      </c>
      <c r="Z28" s="98"/>
      <c r="AA28" s="98"/>
      <c r="AB28" s="99"/>
      <c r="AC28" s="99">
        <f t="shared" si="9"/>
        <v>3.9900000000000047E-2</v>
      </c>
      <c r="AD28" s="100">
        <f t="shared" si="10"/>
        <v>59451.000000000073</v>
      </c>
      <c r="AE28" s="84" t="s">
        <v>255</v>
      </c>
    </row>
    <row r="29" spans="1:31" ht="39.75" customHeight="1" x14ac:dyDescent="0.25">
      <c r="A29" s="96">
        <v>18</v>
      </c>
      <c r="B29" s="97" t="s">
        <v>272</v>
      </c>
      <c r="C29" s="96"/>
      <c r="D29" s="98">
        <v>3.99</v>
      </c>
      <c r="E29" s="99"/>
      <c r="F29" s="98"/>
      <c r="G29" s="99">
        <f t="shared" ref="G29:G31" si="14">ROUND((D29+E29+F29)*14/100,4)</f>
        <v>0.55859999999999999</v>
      </c>
      <c r="H29" s="98"/>
      <c r="I29" s="99">
        <f t="shared" si="3"/>
        <v>0.99750000000000005</v>
      </c>
      <c r="J29" s="99">
        <f t="shared" si="4"/>
        <v>5.5461</v>
      </c>
      <c r="K29" s="100">
        <f t="shared" si="5"/>
        <v>8263689</v>
      </c>
      <c r="L29" s="98"/>
      <c r="M29" s="98">
        <v>3.99</v>
      </c>
      <c r="N29" s="99"/>
      <c r="O29" s="98"/>
      <c r="P29" s="99">
        <f t="shared" ref="P29:P31" si="15">ROUND((M29+N29+O29)*15/100,4)</f>
        <v>0.59850000000000003</v>
      </c>
      <c r="Q29" s="98"/>
      <c r="R29" s="99">
        <f t="shared" si="6"/>
        <v>0.99750000000000005</v>
      </c>
      <c r="S29" s="99">
        <f t="shared" si="7"/>
        <v>5.5860000000000003</v>
      </c>
      <c r="T29" s="100">
        <f t="shared" si="8"/>
        <v>8323140</v>
      </c>
      <c r="U29" s="141" t="s">
        <v>31</v>
      </c>
      <c r="V29" s="98"/>
      <c r="W29" s="99"/>
      <c r="X29" s="98"/>
      <c r="Y29" s="99">
        <f t="shared" si="13"/>
        <v>3.9900000000000047E-2</v>
      </c>
      <c r="Z29" s="98"/>
      <c r="AA29" s="98"/>
      <c r="AB29" s="99"/>
      <c r="AC29" s="99">
        <f t="shared" si="9"/>
        <v>3.9900000000000047E-2</v>
      </c>
      <c r="AD29" s="100">
        <f t="shared" si="10"/>
        <v>59451.000000000073</v>
      </c>
      <c r="AE29" s="84" t="s">
        <v>255</v>
      </c>
    </row>
    <row r="30" spans="1:31" ht="39.75" customHeight="1" x14ac:dyDescent="0.25">
      <c r="A30" s="96">
        <v>19</v>
      </c>
      <c r="B30" s="97" t="s">
        <v>273</v>
      </c>
      <c r="C30" s="96"/>
      <c r="D30" s="98">
        <v>3.66</v>
      </c>
      <c r="E30" s="99"/>
      <c r="F30" s="98"/>
      <c r="G30" s="99">
        <f t="shared" si="14"/>
        <v>0.51239999999999997</v>
      </c>
      <c r="H30" s="98"/>
      <c r="I30" s="99">
        <f t="shared" si="3"/>
        <v>0.91500000000000004</v>
      </c>
      <c r="J30" s="99">
        <f t="shared" si="4"/>
        <v>5.0873999999999997</v>
      </c>
      <c r="K30" s="100">
        <f t="shared" si="5"/>
        <v>7580226</v>
      </c>
      <c r="L30" s="98"/>
      <c r="M30" s="98">
        <v>3.66</v>
      </c>
      <c r="N30" s="99"/>
      <c r="O30" s="98"/>
      <c r="P30" s="99">
        <f t="shared" si="15"/>
        <v>0.54900000000000004</v>
      </c>
      <c r="Q30" s="98"/>
      <c r="R30" s="99">
        <f t="shared" si="6"/>
        <v>0.91500000000000004</v>
      </c>
      <c r="S30" s="99">
        <f t="shared" si="7"/>
        <v>5.1239999999999997</v>
      </c>
      <c r="T30" s="100">
        <f t="shared" si="8"/>
        <v>7634760</v>
      </c>
      <c r="U30" s="141" t="s">
        <v>31</v>
      </c>
      <c r="V30" s="98"/>
      <c r="W30" s="99"/>
      <c r="X30" s="98"/>
      <c r="Y30" s="99">
        <f t="shared" si="13"/>
        <v>3.6600000000000077E-2</v>
      </c>
      <c r="Z30" s="98"/>
      <c r="AA30" s="98"/>
      <c r="AB30" s="99"/>
      <c r="AC30" s="99">
        <f t="shared" si="9"/>
        <v>3.6600000000000077E-2</v>
      </c>
      <c r="AD30" s="100">
        <f t="shared" si="10"/>
        <v>54534.000000000116</v>
      </c>
      <c r="AE30" s="84" t="s">
        <v>255</v>
      </c>
    </row>
    <row r="31" spans="1:31" ht="39.75" customHeight="1" x14ac:dyDescent="0.25">
      <c r="A31" s="96">
        <v>20</v>
      </c>
      <c r="B31" s="97" t="s">
        <v>274</v>
      </c>
      <c r="C31" s="96"/>
      <c r="D31" s="98">
        <v>3.66</v>
      </c>
      <c r="E31" s="99"/>
      <c r="F31" s="98"/>
      <c r="G31" s="99">
        <f t="shared" si="14"/>
        <v>0.51239999999999997</v>
      </c>
      <c r="H31" s="98"/>
      <c r="I31" s="99">
        <f t="shared" si="3"/>
        <v>0.91500000000000004</v>
      </c>
      <c r="J31" s="99">
        <f t="shared" si="4"/>
        <v>5.0873999999999997</v>
      </c>
      <c r="K31" s="100">
        <f t="shared" si="5"/>
        <v>7580226</v>
      </c>
      <c r="L31" s="98"/>
      <c r="M31" s="98">
        <v>3.66</v>
      </c>
      <c r="N31" s="99"/>
      <c r="O31" s="98"/>
      <c r="P31" s="99">
        <f t="shared" si="15"/>
        <v>0.54900000000000004</v>
      </c>
      <c r="Q31" s="98"/>
      <c r="R31" s="99">
        <f t="shared" si="6"/>
        <v>0.91500000000000004</v>
      </c>
      <c r="S31" s="99">
        <f t="shared" si="7"/>
        <v>5.1239999999999997</v>
      </c>
      <c r="T31" s="100">
        <f t="shared" si="8"/>
        <v>7634760</v>
      </c>
      <c r="U31" s="141" t="s">
        <v>31</v>
      </c>
      <c r="V31" s="98"/>
      <c r="W31" s="99"/>
      <c r="X31" s="98"/>
      <c r="Y31" s="99">
        <f t="shared" si="13"/>
        <v>3.6600000000000077E-2</v>
      </c>
      <c r="Z31" s="98"/>
      <c r="AA31" s="98"/>
      <c r="AB31" s="99"/>
      <c r="AC31" s="99">
        <f t="shared" si="9"/>
        <v>3.6600000000000077E-2</v>
      </c>
      <c r="AD31" s="100">
        <f t="shared" si="10"/>
        <v>54534.000000000116</v>
      </c>
      <c r="AE31" s="84" t="s">
        <v>255</v>
      </c>
    </row>
    <row r="32" spans="1:31" ht="39.75" customHeight="1" x14ac:dyDescent="0.25">
      <c r="A32" s="96">
        <v>21</v>
      </c>
      <c r="B32" s="97" t="s">
        <v>279</v>
      </c>
      <c r="C32" s="96"/>
      <c r="D32" s="98">
        <v>3.99</v>
      </c>
      <c r="E32" s="99"/>
      <c r="F32" s="98">
        <v>0.35</v>
      </c>
      <c r="G32" s="99">
        <f>ROUND((D32+E32+F32)*16/100,4)</f>
        <v>0.69440000000000002</v>
      </c>
      <c r="H32" s="98"/>
      <c r="I32" s="99">
        <f t="shared" si="3"/>
        <v>1.085</v>
      </c>
      <c r="J32" s="99">
        <f t="shared" si="4"/>
        <v>6.1193999999999997</v>
      </c>
      <c r="K32" s="100">
        <f t="shared" si="5"/>
        <v>9117906</v>
      </c>
      <c r="L32" s="98"/>
      <c r="M32" s="98">
        <v>3.99</v>
      </c>
      <c r="N32" s="99"/>
      <c r="O32" s="98">
        <v>0.35</v>
      </c>
      <c r="P32" s="99">
        <f>ROUND((M32+N32+O32)*17/100,4)</f>
        <v>0.73780000000000001</v>
      </c>
      <c r="Q32" s="98"/>
      <c r="R32" s="99">
        <f t="shared" si="6"/>
        <v>1.085</v>
      </c>
      <c r="S32" s="99">
        <f t="shared" si="7"/>
        <v>6.1627999999999998</v>
      </c>
      <c r="T32" s="100">
        <f t="shared" si="8"/>
        <v>9182572</v>
      </c>
      <c r="U32" s="141" t="s">
        <v>31</v>
      </c>
      <c r="V32" s="98"/>
      <c r="W32" s="99"/>
      <c r="X32" s="98"/>
      <c r="Y32" s="99">
        <f t="shared" si="13"/>
        <v>4.3399999999999994E-2</v>
      </c>
      <c r="Z32" s="98"/>
      <c r="AA32" s="98"/>
      <c r="AB32" s="99"/>
      <c r="AC32" s="99">
        <f t="shared" si="9"/>
        <v>4.3399999999999994E-2</v>
      </c>
      <c r="AD32" s="100">
        <f t="shared" si="10"/>
        <v>64665.999999999993</v>
      </c>
      <c r="AE32" s="84" t="s">
        <v>248</v>
      </c>
    </row>
    <row r="33" spans="1:31" ht="39.75" customHeight="1" x14ac:dyDescent="0.25">
      <c r="A33" s="96">
        <v>22</v>
      </c>
      <c r="B33" s="97" t="s">
        <v>97</v>
      </c>
      <c r="C33" s="96"/>
      <c r="D33" s="98">
        <v>4.32</v>
      </c>
      <c r="E33" s="99"/>
      <c r="F33" s="98">
        <v>0.35</v>
      </c>
      <c r="G33" s="99">
        <f>ROUND((D33+E33+F33)*15/100,4)</f>
        <v>0.70050000000000001</v>
      </c>
      <c r="H33" s="98"/>
      <c r="I33" s="99">
        <f t="shared" si="3"/>
        <v>1.1675</v>
      </c>
      <c r="J33" s="99">
        <f t="shared" si="4"/>
        <v>6.5380000000000003</v>
      </c>
      <c r="K33" s="100">
        <f t="shared" si="5"/>
        <v>9741620</v>
      </c>
      <c r="L33" s="98"/>
      <c r="M33" s="98">
        <v>4.32</v>
      </c>
      <c r="N33" s="99"/>
      <c r="O33" s="98">
        <v>0.35</v>
      </c>
      <c r="P33" s="99">
        <f>ROUND((M33+N33+O33)*16/100,4)</f>
        <v>0.74719999999999998</v>
      </c>
      <c r="Q33" s="98"/>
      <c r="R33" s="99">
        <f t="shared" si="6"/>
        <v>1.1675</v>
      </c>
      <c r="S33" s="99">
        <f t="shared" si="7"/>
        <v>6.5846999999999998</v>
      </c>
      <c r="T33" s="100">
        <f t="shared" si="8"/>
        <v>9811203</v>
      </c>
      <c r="U33" s="141" t="s">
        <v>31</v>
      </c>
      <c r="V33" s="98"/>
      <c r="W33" s="99"/>
      <c r="X33" s="98"/>
      <c r="Y33" s="99">
        <f t="shared" si="13"/>
        <v>4.6699999999999964E-2</v>
      </c>
      <c r="Z33" s="98"/>
      <c r="AA33" s="98"/>
      <c r="AB33" s="99"/>
      <c r="AC33" s="99">
        <f t="shared" si="9"/>
        <v>4.6699999999999964E-2</v>
      </c>
      <c r="AD33" s="100">
        <f t="shared" si="10"/>
        <v>69582.999999999942</v>
      </c>
      <c r="AE33" s="84" t="s">
        <v>258</v>
      </c>
    </row>
    <row r="34" spans="1:31" s="267" customFormat="1" ht="39.75" customHeight="1" x14ac:dyDescent="0.25">
      <c r="A34" s="96">
        <v>23</v>
      </c>
      <c r="B34" s="261" t="s">
        <v>216</v>
      </c>
      <c r="C34" s="260"/>
      <c r="D34" s="262">
        <v>4.9800000000000004</v>
      </c>
      <c r="E34" s="263"/>
      <c r="F34" s="262">
        <v>0.25</v>
      </c>
      <c r="G34" s="263">
        <f>ROUND((D34+E34+F34)*19/100,4)</f>
        <v>0.99370000000000003</v>
      </c>
      <c r="H34" s="262"/>
      <c r="I34" s="263">
        <f t="shared" si="3"/>
        <v>1.3075000000000001</v>
      </c>
      <c r="J34" s="263">
        <f t="shared" si="4"/>
        <v>7.5312000000000001</v>
      </c>
      <c r="K34" s="264">
        <f t="shared" si="5"/>
        <v>11221488</v>
      </c>
      <c r="L34" s="262"/>
      <c r="M34" s="262">
        <v>4.9800000000000004</v>
      </c>
      <c r="N34" s="263"/>
      <c r="O34" s="262">
        <v>0.25</v>
      </c>
      <c r="P34" s="263">
        <f>ROUND((M34+N34+O34)*20/100,4)</f>
        <v>1.046</v>
      </c>
      <c r="Q34" s="262"/>
      <c r="R34" s="263">
        <f t="shared" si="6"/>
        <v>1.3075000000000001</v>
      </c>
      <c r="S34" s="263">
        <f t="shared" si="7"/>
        <v>7.5834999999999999</v>
      </c>
      <c r="T34" s="264">
        <f t="shared" si="8"/>
        <v>11299415</v>
      </c>
      <c r="U34" s="265" t="s">
        <v>31</v>
      </c>
      <c r="V34" s="262"/>
      <c r="W34" s="263"/>
      <c r="X34" s="262"/>
      <c r="Y34" s="263">
        <f t="shared" si="13"/>
        <v>5.2300000000000013E-2</v>
      </c>
      <c r="Z34" s="262"/>
      <c r="AA34" s="262"/>
      <c r="AB34" s="263"/>
      <c r="AC34" s="263">
        <f t="shared" si="9"/>
        <v>5.2300000000000013E-2</v>
      </c>
      <c r="AD34" s="264">
        <f t="shared" si="10"/>
        <v>77927.000000000015</v>
      </c>
      <c r="AE34" s="266" t="s">
        <v>301</v>
      </c>
    </row>
    <row r="35" spans="1:31" s="267" customFormat="1" ht="39.75" customHeight="1" x14ac:dyDescent="0.25">
      <c r="A35" s="260">
        <v>24</v>
      </c>
      <c r="B35" s="261" t="s">
        <v>77</v>
      </c>
      <c r="C35" s="260"/>
      <c r="D35" s="262">
        <v>0</v>
      </c>
      <c r="E35" s="263"/>
      <c r="F35" s="262">
        <v>0</v>
      </c>
      <c r="G35" s="263">
        <f>ROUND((D35+E35+F35)*16/100,4)</f>
        <v>0</v>
      </c>
      <c r="H35" s="262"/>
      <c r="I35" s="263">
        <f>ROUND((4.32+0.35)*25/100,4)</f>
        <v>1.1675</v>
      </c>
      <c r="J35" s="263">
        <f t="shared" si="4"/>
        <v>1.1675</v>
      </c>
      <c r="K35" s="264">
        <f t="shared" si="5"/>
        <v>1739575</v>
      </c>
      <c r="L35" s="262"/>
      <c r="M35" s="262">
        <v>4.32</v>
      </c>
      <c r="N35" s="263"/>
      <c r="O35" s="262">
        <v>0.35</v>
      </c>
      <c r="P35" s="263">
        <f>ROUND((M35+N35+O35)*17/100,4)</f>
        <v>0.79390000000000005</v>
      </c>
      <c r="Q35" s="262"/>
      <c r="R35" s="263">
        <f t="shared" si="6"/>
        <v>1.1675</v>
      </c>
      <c r="S35" s="263">
        <f t="shared" si="7"/>
        <v>6.6314000000000002</v>
      </c>
      <c r="T35" s="264">
        <f t="shared" si="8"/>
        <v>9880786</v>
      </c>
      <c r="U35" s="265" t="s">
        <v>31</v>
      </c>
      <c r="V35" s="262">
        <f>M35</f>
        <v>4.32</v>
      </c>
      <c r="W35" s="263"/>
      <c r="X35" s="262">
        <v>0.35</v>
      </c>
      <c r="Y35" s="263">
        <f t="shared" si="13"/>
        <v>0.79390000000000005</v>
      </c>
      <c r="Z35" s="262"/>
      <c r="AA35" s="262"/>
      <c r="AB35" s="263"/>
      <c r="AC35" s="263">
        <f t="shared" si="9"/>
        <v>5.4638999999999998</v>
      </c>
      <c r="AD35" s="264">
        <f t="shared" si="10"/>
        <v>8141211</v>
      </c>
      <c r="AE35" s="266" t="s">
        <v>248</v>
      </c>
    </row>
    <row r="36" spans="1:31" ht="39.75" customHeight="1" x14ac:dyDescent="0.25">
      <c r="A36" s="96">
        <v>25</v>
      </c>
      <c r="B36" s="97" t="s">
        <v>302</v>
      </c>
      <c r="C36" s="96"/>
      <c r="D36" s="98">
        <v>4.9800000000000004</v>
      </c>
      <c r="E36" s="99"/>
      <c r="F36" s="98"/>
      <c r="G36" s="99">
        <f>ROUND((D36+E36+F36)*19/100,4)</f>
        <v>0.94620000000000004</v>
      </c>
      <c r="H36" s="98"/>
      <c r="I36" s="99">
        <f t="shared" si="3"/>
        <v>1.2450000000000001</v>
      </c>
      <c r="J36" s="99">
        <f t="shared" si="4"/>
        <v>7.1711999999999998</v>
      </c>
      <c r="K36" s="100">
        <f t="shared" si="5"/>
        <v>10685088</v>
      </c>
      <c r="L36" s="98"/>
      <c r="M36" s="98">
        <v>4.9800000000000004</v>
      </c>
      <c r="N36" s="99"/>
      <c r="O36" s="98"/>
      <c r="P36" s="99">
        <f>ROUND((M36+N36+O36)*20/100,4)</f>
        <v>0.996</v>
      </c>
      <c r="Q36" s="98"/>
      <c r="R36" s="99">
        <f t="shared" si="6"/>
        <v>1.2450000000000001</v>
      </c>
      <c r="S36" s="99">
        <f t="shared" si="7"/>
        <v>7.2210000000000001</v>
      </c>
      <c r="T36" s="100">
        <f t="shared" si="8"/>
        <v>10759290</v>
      </c>
      <c r="U36" s="265" t="s">
        <v>31</v>
      </c>
      <c r="V36" s="98"/>
      <c r="W36" s="99"/>
      <c r="X36" s="98"/>
      <c r="Y36" s="99">
        <f t="shared" si="13"/>
        <v>4.9799999999999955E-2</v>
      </c>
      <c r="Z36" s="98"/>
      <c r="AA36" s="98"/>
      <c r="AB36" s="99"/>
      <c r="AC36" s="99">
        <f t="shared" si="9"/>
        <v>4.9799999999999955E-2</v>
      </c>
      <c r="AD36" s="100">
        <f t="shared" si="10"/>
        <v>74201.999999999927</v>
      </c>
      <c r="AE36" s="266" t="s">
        <v>301</v>
      </c>
    </row>
    <row r="37" spans="1:31" ht="39.75" customHeight="1" x14ac:dyDescent="0.25">
      <c r="A37" s="96">
        <v>26</v>
      </c>
      <c r="B37" s="97" t="s">
        <v>303</v>
      </c>
      <c r="C37" s="96"/>
      <c r="D37" s="98">
        <v>4.6500000000000004</v>
      </c>
      <c r="E37" s="99"/>
      <c r="F37" s="98"/>
      <c r="G37" s="99">
        <f>ROUND((D37+E37+F37)*20/100,4)</f>
        <v>0.93</v>
      </c>
      <c r="H37" s="98"/>
      <c r="I37" s="99">
        <f t="shared" si="3"/>
        <v>1.1625000000000001</v>
      </c>
      <c r="J37" s="99">
        <f t="shared" si="4"/>
        <v>6.7424999999999997</v>
      </c>
      <c r="K37" s="100">
        <f t="shared" si="5"/>
        <v>10046325</v>
      </c>
      <c r="L37" s="98"/>
      <c r="M37" s="98">
        <v>4.6500000000000004</v>
      </c>
      <c r="N37" s="99"/>
      <c r="O37" s="98"/>
      <c r="P37" s="99">
        <f>ROUND((M37+N37+O37)*21/100,4)</f>
        <v>0.97650000000000003</v>
      </c>
      <c r="Q37" s="98"/>
      <c r="R37" s="99">
        <f t="shared" si="6"/>
        <v>1.1625000000000001</v>
      </c>
      <c r="S37" s="99">
        <f t="shared" si="7"/>
        <v>6.7889999999999997</v>
      </c>
      <c r="T37" s="100">
        <f t="shared" si="8"/>
        <v>10115610</v>
      </c>
      <c r="U37" s="265" t="s">
        <v>31</v>
      </c>
      <c r="V37" s="98"/>
      <c r="W37" s="99"/>
      <c r="X37" s="98"/>
      <c r="Y37" s="99">
        <f t="shared" si="13"/>
        <v>4.6499999999999986E-2</v>
      </c>
      <c r="Z37" s="98"/>
      <c r="AA37" s="98"/>
      <c r="AB37" s="99"/>
      <c r="AC37" s="99">
        <f t="shared" si="9"/>
        <v>4.6499999999999986E-2</v>
      </c>
      <c r="AD37" s="100">
        <f t="shared" si="10"/>
        <v>69284.999999999985</v>
      </c>
      <c r="AE37" s="266" t="s">
        <v>304</v>
      </c>
    </row>
    <row r="38" spans="1:31" ht="39.75" customHeight="1" x14ac:dyDescent="0.25">
      <c r="A38" s="96">
        <v>27</v>
      </c>
      <c r="B38" s="97" t="s">
        <v>305</v>
      </c>
      <c r="C38" s="96"/>
      <c r="D38" s="98">
        <v>4.6500000000000004</v>
      </c>
      <c r="E38" s="99"/>
      <c r="F38" s="98"/>
      <c r="G38" s="99">
        <f>ROUND((D38+E38+F38)*17/100,4)</f>
        <v>0.79049999999999998</v>
      </c>
      <c r="H38" s="98"/>
      <c r="I38" s="99">
        <f t="shared" si="3"/>
        <v>1.1625000000000001</v>
      </c>
      <c r="J38" s="99">
        <f t="shared" si="4"/>
        <v>6.6029999999999998</v>
      </c>
      <c r="K38" s="100">
        <f t="shared" si="5"/>
        <v>9838470</v>
      </c>
      <c r="L38" s="98"/>
      <c r="M38" s="98">
        <v>4.6500000000000004</v>
      </c>
      <c r="N38" s="99"/>
      <c r="O38" s="98"/>
      <c r="P38" s="99">
        <f>ROUND((M38+N38+O38)*18/100,4)</f>
        <v>0.83699999999999997</v>
      </c>
      <c r="Q38" s="98"/>
      <c r="R38" s="99">
        <f t="shared" si="6"/>
        <v>1.1625000000000001</v>
      </c>
      <c r="S38" s="99">
        <f t="shared" si="7"/>
        <v>6.6494999999999997</v>
      </c>
      <c r="T38" s="100">
        <f t="shared" si="8"/>
        <v>9907755</v>
      </c>
      <c r="U38" s="265" t="s">
        <v>31</v>
      </c>
      <c r="V38" s="98"/>
      <c r="W38" s="99"/>
      <c r="X38" s="98"/>
      <c r="Y38" s="99">
        <f t="shared" si="13"/>
        <v>4.6499999999999986E-2</v>
      </c>
      <c r="Z38" s="98"/>
      <c r="AA38" s="98"/>
      <c r="AB38" s="99"/>
      <c r="AC38" s="99">
        <f t="shared" si="9"/>
        <v>4.6499999999999986E-2</v>
      </c>
      <c r="AD38" s="100">
        <f t="shared" si="10"/>
        <v>69284.999999999985</v>
      </c>
      <c r="AE38" s="266" t="s">
        <v>253</v>
      </c>
    </row>
    <row r="39" spans="1:31" ht="39.75" customHeight="1" x14ac:dyDescent="0.25">
      <c r="A39" s="96">
        <v>28</v>
      </c>
      <c r="B39" s="97" t="s">
        <v>306</v>
      </c>
      <c r="C39" s="96"/>
      <c r="D39" s="98">
        <v>4.32</v>
      </c>
      <c r="E39" s="99"/>
      <c r="F39" s="98"/>
      <c r="G39" s="99">
        <f>ROUND((D39+E39+F39)*19/100,4)</f>
        <v>0.82079999999999997</v>
      </c>
      <c r="H39" s="98"/>
      <c r="I39" s="99">
        <f t="shared" si="3"/>
        <v>1.08</v>
      </c>
      <c r="J39" s="99">
        <f t="shared" si="4"/>
        <v>6.2207999999999997</v>
      </c>
      <c r="K39" s="100">
        <f t="shared" si="5"/>
        <v>9268992</v>
      </c>
      <c r="L39" s="98"/>
      <c r="M39" s="98">
        <v>4.32</v>
      </c>
      <c r="N39" s="99"/>
      <c r="O39" s="98"/>
      <c r="P39" s="99">
        <f>ROUND((M39+N39+O39)*20/100,4)</f>
        <v>0.86399999999999999</v>
      </c>
      <c r="Q39" s="98"/>
      <c r="R39" s="99">
        <f t="shared" si="6"/>
        <v>1.08</v>
      </c>
      <c r="S39" s="99">
        <f t="shared" si="7"/>
        <v>6.2640000000000002</v>
      </c>
      <c r="T39" s="100">
        <f t="shared" si="8"/>
        <v>9333360</v>
      </c>
      <c r="U39" s="265" t="s">
        <v>31</v>
      </c>
      <c r="V39" s="98"/>
      <c r="W39" s="99"/>
      <c r="X39" s="98"/>
      <c r="Y39" s="99">
        <f t="shared" si="13"/>
        <v>4.3200000000000016E-2</v>
      </c>
      <c r="Z39" s="98"/>
      <c r="AA39" s="98"/>
      <c r="AB39" s="99"/>
      <c r="AC39" s="99">
        <f t="shared" si="9"/>
        <v>4.3200000000000016E-2</v>
      </c>
      <c r="AD39" s="100">
        <f t="shared" si="10"/>
        <v>64368.000000000022</v>
      </c>
      <c r="AE39" s="266" t="s">
        <v>301</v>
      </c>
    </row>
    <row r="40" spans="1:31" ht="39.75" customHeight="1" x14ac:dyDescent="0.25">
      <c r="A40" s="96">
        <v>29</v>
      </c>
      <c r="B40" s="97" t="s">
        <v>307</v>
      </c>
      <c r="C40" s="96"/>
      <c r="D40" s="98">
        <v>4.32</v>
      </c>
      <c r="E40" s="99"/>
      <c r="F40" s="98"/>
      <c r="G40" s="99">
        <f>ROUND((D40+E40+F40)*16/100,4)</f>
        <v>0.69120000000000004</v>
      </c>
      <c r="H40" s="98"/>
      <c r="I40" s="99">
        <f t="shared" si="3"/>
        <v>1.08</v>
      </c>
      <c r="J40" s="99">
        <f t="shared" si="4"/>
        <v>6.0911999999999997</v>
      </c>
      <c r="K40" s="100">
        <f t="shared" si="5"/>
        <v>9075888</v>
      </c>
      <c r="L40" s="98"/>
      <c r="M40" s="98">
        <v>4.32</v>
      </c>
      <c r="N40" s="99"/>
      <c r="O40" s="98"/>
      <c r="P40" s="99">
        <f>ROUND((M40+N40+O40)*17/100,4)</f>
        <v>0.73440000000000005</v>
      </c>
      <c r="Q40" s="98"/>
      <c r="R40" s="99">
        <f t="shared" si="6"/>
        <v>1.08</v>
      </c>
      <c r="S40" s="99">
        <f t="shared" si="7"/>
        <v>6.1344000000000003</v>
      </c>
      <c r="T40" s="100">
        <f t="shared" si="8"/>
        <v>9140256</v>
      </c>
      <c r="U40" s="265" t="s">
        <v>31</v>
      </c>
      <c r="V40" s="98"/>
      <c r="W40" s="99"/>
      <c r="X40" s="98"/>
      <c r="Y40" s="99">
        <f t="shared" si="13"/>
        <v>4.3200000000000016E-2</v>
      </c>
      <c r="Z40" s="98"/>
      <c r="AA40" s="98"/>
      <c r="AB40" s="99"/>
      <c r="AC40" s="99">
        <f t="shared" si="9"/>
        <v>4.3200000000000016E-2</v>
      </c>
      <c r="AD40" s="100">
        <f t="shared" si="10"/>
        <v>64368.000000000022</v>
      </c>
      <c r="AE40" s="266" t="s">
        <v>248</v>
      </c>
    </row>
    <row r="41" spans="1:31" ht="39.75" customHeight="1" x14ac:dyDescent="0.25">
      <c r="A41" s="96">
        <v>30</v>
      </c>
      <c r="B41" s="97" t="s">
        <v>308</v>
      </c>
      <c r="C41" s="96"/>
      <c r="D41" s="98">
        <v>3.99</v>
      </c>
      <c r="E41" s="99"/>
      <c r="F41" s="98"/>
      <c r="G41" s="99">
        <f>ROUND((D41+E41+F41)*16/100,4)</f>
        <v>0.63839999999999997</v>
      </c>
      <c r="H41" s="98"/>
      <c r="I41" s="99">
        <f t="shared" si="3"/>
        <v>0.99750000000000005</v>
      </c>
      <c r="J41" s="99">
        <f t="shared" si="4"/>
        <v>5.6258999999999997</v>
      </c>
      <c r="K41" s="100">
        <f t="shared" si="5"/>
        <v>8382591</v>
      </c>
      <c r="L41" s="98"/>
      <c r="M41" s="98">
        <v>3.99</v>
      </c>
      <c r="N41" s="99"/>
      <c r="O41" s="98"/>
      <c r="P41" s="99">
        <f>ROUND((M41+N41+O41)*17/100,4)</f>
        <v>0.67830000000000001</v>
      </c>
      <c r="Q41" s="98"/>
      <c r="R41" s="99">
        <f t="shared" si="6"/>
        <v>0.99750000000000005</v>
      </c>
      <c r="S41" s="99">
        <f t="shared" si="7"/>
        <v>5.6657999999999999</v>
      </c>
      <c r="T41" s="100">
        <f t="shared" si="8"/>
        <v>8442042</v>
      </c>
      <c r="U41" s="265" t="s">
        <v>31</v>
      </c>
      <c r="V41" s="98"/>
      <c r="W41" s="99"/>
      <c r="X41" s="98"/>
      <c r="Y41" s="99">
        <f t="shared" si="13"/>
        <v>3.9900000000000047E-2</v>
      </c>
      <c r="Z41" s="98"/>
      <c r="AA41" s="98"/>
      <c r="AB41" s="99"/>
      <c r="AC41" s="99">
        <f t="shared" si="9"/>
        <v>3.9900000000000047E-2</v>
      </c>
      <c r="AD41" s="100">
        <f t="shared" si="10"/>
        <v>59451.000000000073</v>
      </c>
      <c r="AE41" s="266" t="s">
        <v>248</v>
      </c>
    </row>
    <row r="42" spans="1:31" ht="39.75" customHeight="1" x14ac:dyDescent="0.25">
      <c r="A42" s="96">
        <v>31</v>
      </c>
      <c r="B42" s="97" t="s">
        <v>309</v>
      </c>
      <c r="C42" s="96"/>
      <c r="D42" s="98">
        <v>3.99</v>
      </c>
      <c r="E42" s="99"/>
      <c r="F42" s="98"/>
      <c r="G42" s="99">
        <f>ROUND((D42+E42+F42)*16/100,4)</f>
        <v>0.63839999999999997</v>
      </c>
      <c r="H42" s="98"/>
      <c r="I42" s="99">
        <f t="shared" si="3"/>
        <v>0.99750000000000005</v>
      </c>
      <c r="J42" s="99">
        <f t="shared" si="4"/>
        <v>5.6258999999999997</v>
      </c>
      <c r="K42" s="100">
        <f t="shared" si="5"/>
        <v>8382591</v>
      </c>
      <c r="L42" s="98"/>
      <c r="M42" s="98">
        <v>3.99</v>
      </c>
      <c r="N42" s="99"/>
      <c r="O42" s="98"/>
      <c r="P42" s="99">
        <f>ROUND((M42+N42+O42)*17/100,4)</f>
        <v>0.67830000000000001</v>
      </c>
      <c r="Q42" s="98"/>
      <c r="R42" s="99">
        <f t="shared" si="6"/>
        <v>0.99750000000000005</v>
      </c>
      <c r="S42" s="99">
        <f t="shared" si="7"/>
        <v>5.6657999999999999</v>
      </c>
      <c r="T42" s="100">
        <f t="shared" si="8"/>
        <v>8442042</v>
      </c>
      <c r="U42" s="265" t="s">
        <v>31</v>
      </c>
      <c r="V42" s="98"/>
      <c r="W42" s="99"/>
      <c r="X42" s="98"/>
      <c r="Y42" s="99">
        <f t="shared" si="13"/>
        <v>3.9900000000000047E-2</v>
      </c>
      <c r="Z42" s="98"/>
      <c r="AA42" s="98"/>
      <c r="AB42" s="99"/>
      <c r="AC42" s="99">
        <f t="shared" si="9"/>
        <v>3.9900000000000047E-2</v>
      </c>
      <c r="AD42" s="100">
        <f t="shared" si="10"/>
        <v>59451.000000000073</v>
      </c>
      <c r="AE42" s="266" t="s">
        <v>248</v>
      </c>
    </row>
    <row r="43" spans="1:31" ht="39.75" customHeight="1" x14ac:dyDescent="0.25">
      <c r="A43" s="96">
        <v>32</v>
      </c>
      <c r="B43" s="97" t="s">
        <v>317</v>
      </c>
      <c r="C43" s="96"/>
      <c r="D43" s="98">
        <v>3.99</v>
      </c>
      <c r="E43" s="99"/>
      <c r="F43" s="98"/>
      <c r="G43" s="99">
        <f>ROUND((D43+E43+F43)*16/100,4)</f>
        <v>0.63839999999999997</v>
      </c>
      <c r="H43" s="98"/>
      <c r="I43" s="99">
        <f t="shared" si="3"/>
        <v>0.99750000000000005</v>
      </c>
      <c r="J43" s="99">
        <f t="shared" si="4"/>
        <v>5.6258999999999997</v>
      </c>
      <c r="K43" s="100">
        <f t="shared" si="5"/>
        <v>8382591</v>
      </c>
      <c r="L43" s="98"/>
      <c r="M43" s="98">
        <v>3.99</v>
      </c>
      <c r="N43" s="99"/>
      <c r="O43" s="98"/>
      <c r="P43" s="99">
        <f>ROUND((M43+N43+O43)*17/100,4)</f>
        <v>0.67830000000000001</v>
      </c>
      <c r="Q43" s="98"/>
      <c r="R43" s="99">
        <f t="shared" si="6"/>
        <v>0.99750000000000005</v>
      </c>
      <c r="S43" s="99">
        <f t="shared" si="7"/>
        <v>5.6657999999999999</v>
      </c>
      <c r="T43" s="100">
        <f t="shared" si="8"/>
        <v>8442042</v>
      </c>
      <c r="U43" s="265" t="s">
        <v>31</v>
      </c>
      <c r="V43" s="98"/>
      <c r="W43" s="99"/>
      <c r="X43" s="98"/>
      <c r="Y43" s="99">
        <f t="shared" si="13"/>
        <v>3.9900000000000047E-2</v>
      </c>
      <c r="Z43" s="98"/>
      <c r="AA43" s="98"/>
      <c r="AB43" s="99"/>
      <c r="AC43" s="99">
        <f t="shared" si="9"/>
        <v>3.9900000000000047E-2</v>
      </c>
      <c r="AD43" s="100">
        <f t="shared" si="10"/>
        <v>59451.000000000073</v>
      </c>
      <c r="AE43" s="266" t="s">
        <v>248</v>
      </c>
    </row>
    <row r="44" spans="1:31" ht="39.75" customHeight="1" x14ac:dyDescent="0.25">
      <c r="A44" s="96">
        <v>33</v>
      </c>
      <c r="B44" s="97" t="s">
        <v>318</v>
      </c>
      <c r="C44" s="96"/>
      <c r="D44" s="98">
        <v>4.6500000000000004</v>
      </c>
      <c r="E44" s="99"/>
      <c r="F44" s="98"/>
      <c r="G44" s="99">
        <f>ROUND((D44+E44+F44)*19/100,4)</f>
        <v>0.88349999999999995</v>
      </c>
      <c r="H44" s="98"/>
      <c r="I44" s="99">
        <f t="shared" si="3"/>
        <v>1.1625000000000001</v>
      </c>
      <c r="J44" s="99">
        <f t="shared" si="4"/>
        <v>6.6959999999999997</v>
      </c>
      <c r="K44" s="100">
        <f t="shared" si="5"/>
        <v>9977040</v>
      </c>
      <c r="L44" s="98"/>
      <c r="M44" s="98">
        <v>4.6500000000000004</v>
      </c>
      <c r="N44" s="99"/>
      <c r="O44" s="98"/>
      <c r="P44" s="99">
        <f>ROUND((M44+N44+O44)*20/100,4)</f>
        <v>0.93</v>
      </c>
      <c r="Q44" s="98"/>
      <c r="R44" s="99">
        <f t="shared" si="6"/>
        <v>1.1625000000000001</v>
      </c>
      <c r="S44" s="99">
        <f t="shared" si="7"/>
        <v>6.7424999999999997</v>
      </c>
      <c r="T44" s="100">
        <f t="shared" si="8"/>
        <v>10046325</v>
      </c>
      <c r="U44" s="265" t="s">
        <v>31</v>
      </c>
      <c r="V44" s="98"/>
      <c r="W44" s="99"/>
      <c r="X44" s="98"/>
      <c r="Y44" s="99">
        <f t="shared" si="13"/>
        <v>4.6500000000000097E-2</v>
      </c>
      <c r="Z44" s="98"/>
      <c r="AA44" s="98"/>
      <c r="AB44" s="99"/>
      <c r="AC44" s="99">
        <f t="shared" si="9"/>
        <v>4.6500000000000097E-2</v>
      </c>
      <c r="AD44" s="100">
        <f t="shared" si="10"/>
        <v>69285.000000000146</v>
      </c>
      <c r="AE44" s="266" t="s">
        <v>301</v>
      </c>
    </row>
    <row r="45" spans="1:31" ht="39.75" customHeight="1" x14ac:dyDescent="0.25">
      <c r="A45" s="96">
        <v>34</v>
      </c>
      <c r="B45" s="97" t="s">
        <v>319</v>
      </c>
      <c r="C45" s="96"/>
      <c r="D45" s="98">
        <v>4.9800000000000004</v>
      </c>
      <c r="E45" s="99"/>
      <c r="F45" s="98"/>
      <c r="G45" s="99">
        <f>ROUND((D45+E45+F45)*18/100,4)</f>
        <v>0.89639999999999997</v>
      </c>
      <c r="H45" s="98"/>
      <c r="I45" s="99">
        <f t="shared" si="3"/>
        <v>1.2450000000000001</v>
      </c>
      <c r="J45" s="99">
        <f t="shared" si="4"/>
        <v>7.1214000000000004</v>
      </c>
      <c r="K45" s="100">
        <f t="shared" si="5"/>
        <v>10610886</v>
      </c>
      <c r="L45" s="98"/>
      <c r="M45" s="98">
        <v>4.9800000000000004</v>
      </c>
      <c r="N45" s="99"/>
      <c r="O45" s="98"/>
      <c r="P45" s="99">
        <f>ROUND((M45+N45+O45)*19/100,4)</f>
        <v>0.94620000000000004</v>
      </c>
      <c r="Q45" s="98"/>
      <c r="R45" s="99">
        <f t="shared" si="6"/>
        <v>1.2450000000000001</v>
      </c>
      <c r="S45" s="99">
        <f t="shared" si="7"/>
        <v>7.1711999999999998</v>
      </c>
      <c r="T45" s="100">
        <f t="shared" si="8"/>
        <v>10685088</v>
      </c>
      <c r="U45" s="265" t="s">
        <v>31</v>
      </c>
      <c r="V45" s="98"/>
      <c r="W45" s="99"/>
      <c r="X45" s="98"/>
      <c r="Y45" s="99">
        <f t="shared" si="13"/>
        <v>4.9800000000000066E-2</v>
      </c>
      <c r="Z45" s="98"/>
      <c r="AA45" s="98"/>
      <c r="AB45" s="99"/>
      <c r="AC45" s="99">
        <f t="shared" si="9"/>
        <v>4.9800000000000066E-2</v>
      </c>
      <c r="AD45" s="100">
        <f t="shared" si="10"/>
        <v>74202.000000000102</v>
      </c>
      <c r="AE45" s="266" t="s">
        <v>251</v>
      </c>
    </row>
    <row r="46" spans="1:31" ht="39.75" customHeight="1" x14ac:dyDescent="0.25">
      <c r="A46" s="96">
        <v>35</v>
      </c>
      <c r="B46" s="97" t="s">
        <v>320</v>
      </c>
      <c r="C46" s="96"/>
      <c r="D46" s="98">
        <v>4.6500000000000004</v>
      </c>
      <c r="E46" s="99"/>
      <c r="F46" s="98"/>
      <c r="G46" s="99">
        <f>ROUND((D46+E46+F46)*18/100,4)</f>
        <v>0.83699999999999997</v>
      </c>
      <c r="H46" s="98"/>
      <c r="I46" s="99">
        <f t="shared" si="3"/>
        <v>1.1625000000000001</v>
      </c>
      <c r="J46" s="99">
        <f t="shared" si="4"/>
        <v>6.6494999999999997</v>
      </c>
      <c r="K46" s="100">
        <f t="shared" si="5"/>
        <v>9907755</v>
      </c>
      <c r="L46" s="98"/>
      <c r="M46" s="98">
        <v>4.6500000000000004</v>
      </c>
      <c r="N46" s="99"/>
      <c r="O46" s="98"/>
      <c r="P46" s="99">
        <f>ROUND((M46+N46+O46)*19/100,4)</f>
        <v>0.88349999999999995</v>
      </c>
      <c r="Q46" s="98"/>
      <c r="R46" s="99">
        <f t="shared" si="6"/>
        <v>1.1625000000000001</v>
      </c>
      <c r="S46" s="99">
        <f t="shared" si="7"/>
        <v>6.6959999999999997</v>
      </c>
      <c r="T46" s="100">
        <f t="shared" si="8"/>
        <v>9977040</v>
      </c>
      <c r="U46" s="265" t="s">
        <v>31</v>
      </c>
      <c r="V46" s="98"/>
      <c r="W46" s="99"/>
      <c r="X46" s="98"/>
      <c r="Y46" s="99">
        <f t="shared" si="13"/>
        <v>4.6499999999999986E-2</v>
      </c>
      <c r="Z46" s="98"/>
      <c r="AA46" s="98"/>
      <c r="AB46" s="99"/>
      <c r="AC46" s="99">
        <f t="shared" si="9"/>
        <v>4.6499999999999986E-2</v>
      </c>
      <c r="AD46" s="100">
        <f t="shared" si="10"/>
        <v>69284.999999999985</v>
      </c>
      <c r="AE46" s="266" t="s">
        <v>251</v>
      </c>
    </row>
    <row r="47" spans="1:31" ht="39.75" customHeight="1" x14ac:dyDescent="0.25">
      <c r="A47" s="96">
        <v>36</v>
      </c>
      <c r="B47" s="97" t="s">
        <v>332</v>
      </c>
      <c r="C47" s="96"/>
      <c r="D47" s="98">
        <v>4.9800000000000004</v>
      </c>
      <c r="E47" s="99">
        <f>ROUND(D47*6/100,4)</f>
        <v>0.29880000000000001</v>
      </c>
      <c r="F47" s="98"/>
      <c r="G47" s="99">
        <f>ROUND((D47+E47+F47)*22/100,4)</f>
        <v>1.1613</v>
      </c>
      <c r="H47" s="98"/>
      <c r="I47" s="99">
        <f t="shared" si="3"/>
        <v>1.3197000000000001</v>
      </c>
      <c r="J47" s="99">
        <f t="shared" si="4"/>
        <v>7.7598000000000003</v>
      </c>
      <c r="K47" s="100">
        <f t="shared" si="5"/>
        <v>11562102</v>
      </c>
      <c r="L47" s="98"/>
      <c r="M47" s="98">
        <v>4.9800000000000004</v>
      </c>
      <c r="N47" s="99">
        <f>ROUND(M47*6/100,4)</f>
        <v>0.29880000000000001</v>
      </c>
      <c r="O47" s="98"/>
      <c r="P47" s="99">
        <f>ROUND((M47+N47+O47)*23/100,4)</f>
        <v>1.2141</v>
      </c>
      <c r="Q47" s="98"/>
      <c r="R47" s="99">
        <f t="shared" si="6"/>
        <v>1.3197000000000001</v>
      </c>
      <c r="S47" s="99">
        <f t="shared" si="7"/>
        <v>7.8125999999999998</v>
      </c>
      <c r="T47" s="100">
        <f t="shared" si="8"/>
        <v>11640774</v>
      </c>
      <c r="U47" s="265" t="s">
        <v>31</v>
      </c>
      <c r="V47" s="98"/>
      <c r="W47" s="99"/>
      <c r="X47" s="98"/>
      <c r="Y47" s="99">
        <f t="shared" si="13"/>
        <v>5.2799999999999958E-2</v>
      </c>
      <c r="Z47" s="98"/>
      <c r="AA47" s="98"/>
      <c r="AB47" s="99"/>
      <c r="AC47" s="99">
        <f t="shared" si="9"/>
        <v>5.2799999999999958E-2</v>
      </c>
      <c r="AD47" s="100">
        <f t="shared" si="10"/>
        <v>78671.999999999942</v>
      </c>
      <c r="AE47" s="266" t="s">
        <v>333</v>
      </c>
    </row>
    <row r="48" spans="1:31" ht="39.75" customHeight="1" x14ac:dyDescent="0.25">
      <c r="A48" s="96">
        <v>37</v>
      </c>
      <c r="B48" s="97" t="s">
        <v>334</v>
      </c>
      <c r="C48" s="96"/>
      <c r="D48" s="98">
        <v>3.99</v>
      </c>
      <c r="E48" s="99"/>
      <c r="F48" s="98"/>
      <c r="G48" s="99">
        <f>ROUND((D48+E48+F48)*16/100,4)</f>
        <v>0.63839999999999997</v>
      </c>
      <c r="H48" s="98"/>
      <c r="I48" s="99">
        <f t="shared" si="3"/>
        <v>0.99750000000000005</v>
      </c>
      <c r="J48" s="99">
        <f t="shared" si="4"/>
        <v>5.6258999999999997</v>
      </c>
      <c r="K48" s="100">
        <f t="shared" si="5"/>
        <v>8382591</v>
      </c>
      <c r="L48" s="98"/>
      <c r="M48" s="98">
        <v>3.99</v>
      </c>
      <c r="N48" s="99"/>
      <c r="O48" s="98"/>
      <c r="P48" s="99">
        <f>ROUND((M48+N48+O48)*17/100,4)</f>
        <v>0.67830000000000001</v>
      </c>
      <c r="Q48" s="98"/>
      <c r="R48" s="99">
        <f t="shared" si="6"/>
        <v>0.99750000000000005</v>
      </c>
      <c r="S48" s="99">
        <f t="shared" si="7"/>
        <v>5.6657999999999999</v>
      </c>
      <c r="T48" s="100">
        <f t="shared" si="8"/>
        <v>8442042</v>
      </c>
      <c r="U48" s="265" t="s">
        <v>31</v>
      </c>
      <c r="V48" s="98"/>
      <c r="W48" s="99"/>
      <c r="X48" s="98"/>
      <c r="Y48" s="99">
        <f t="shared" si="13"/>
        <v>3.9900000000000047E-2</v>
      </c>
      <c r="Z48" s="98"/>
      <c r="AA48" s="98"/>
      <c r="AB48" s="99"/>
      <c r="AC48" s="99">
        <f t="shared" si="9"/>
        <v>3.9900000000000047E-2</v>
      </c>
      <c r="AD48" s="100">
        <f t="shared" si="10"/>
        <v>59451.000000000073</v>
      </c>
      <c r="AE48" s="266" t="s">
        <v>248</v>
      </c>
    </row>
    <row r="49" spans="1:31" ht="39.75" customHeight="1" x14ac:dyDescent="0.25">
      <c r="A49" s="96">
        <v>38</v>
      </c>
      <c r="B49" s="97" t="s">
        <v>344</v>
      </c>
      <c r="C49" s="96"/>
      <c r="D49" s="98">
        <v>3.99</v>
      </c>
      <c r="E49" s="99"/>
      <c r="F49" s="98"/>
      <c r="G49" s="99">
        <f>ROUND((D49+E49+F49)*16/100,4)</f>
        <v>0.63839999999999997</v>
      </c>
      <c r="H49" s="98"/>
      <c r="I49" s="99">
        <f t="shared" si="3"/>
        <v>0.99750000000000005</v>
      </c>
      <c r="J49" s="99">
        <f t="shared" si="4"/>
        <v>5.6258999999999997</v>
      </c>
      <c r="K49" s="100">
        <f t="shared" si="5"/>
        <v>8382591</v>
      </c>
      <c r="L49" s="98"/>
      <c r="M49" s="98">
        <v>3.99</v>
      </c>
      <c r="N49" s="99"/>
      <c r="O49" s="98"/>
      <c r="P49" s="99">
        <f>ROUND((M49+N49+O49)*17/100,4)</f>
        <v>0.67830000000000001</v>
      </c>
      <c r="Q49" s="98"/>
      <c r="R49" s="99">
        <f t="shared" si="6"/>
        <v>0.99750000000000005</v>
      </c>
      <c r="S49" s="99">
        <f t="shared" si="7"/>
        <v>5.6657999999999999</v>
      </c>
      <c r="T49" s="100">
        <f t="shared" si="8"/>
        <v>8442042</v>
      </c>
      <c r="U49" s="265" t="s">
        <v>31</v>
      </c>
      <c r="V49" s="98"/>
      <c r="W49" s="99"/>
      <c r="X49" s="98"/>
      <c r="Y49" s="99">
        <f t="shared" si="13"/>
        <v>3.9900000000000047E-2</v>
      </c>
      <c r="Z49" s="98"/>
      <c r="AA49" s="98"/>
      <c r="AB49" s="99"/>
      <c r="AC49" s="99">
        <f t="shared" si="9"/>
        <v>3.9900000000000047E-2</v>
      </c>
      <c r="AD49" s="100">
        <f t="shared" si="10"/>
        <v>59451.000000000073</v>
      </c>
      <c r="AE49" s="266" t="s">
        <v>248</v>
      </c>
    </row>
    <row r="50" spans="1:31" ht="39.75" customHeight="1" x14ac:dyDescent="0.25">
      <c r="A50" s="96">
        <v>39</v>
      </c>
      <c r="B50" s="97" t="s">
        <v>345</v>
      </c>
      <c r="C50" s="96"/>
      <c r="D50" s="98">
        <v>3.99</v>
      </c>
      <c r="E50" s="99"/>
      <c r="F50" s="98"/>
      <c r="G50" s="99">
        <f>ROUND((D50+E50+F50)*15/100,4)</f>
        <v>0.59850000000000003</v>
      </c>
      <c r="H50" s="98"/>
      <c r="I50" s="99">
        <f t="shared" si="3"/>
        <v>0.99750000000000005</v>
      </c>
      <c r="J50" s="99">
        <f t="shared" si="4"/>
        <v>5.5860000000000003</v>
      </c>
      <c r="K50" s="100">
        <f t="shared" si="5"/>
        <v>8323140</v>
      </c>
      <c r="L50" s="98"/>
      <c r="M50" s="98">
        <v>3.99</v>
      </c>
      <c r="N50" s="99"/>
      <c r="O50" s="98"/>
      <c r="P50" s="99">
        <f>ROUND((M50+N50+O50)*16/100,4)</f>
        <v>0.63839999999999997</v>
      </c>
      <c r="Q50" s="98"/>
      <c r="R50" s="99">
        <f t="shared" si="6"/>
        <v>0.99750000000000005</v>
      </c>
      <c r="S50" s="99">
        <f t="shared" si="7"/>
        <v>5.6258999999999997</v>
      </c>
      <c r="T50" s="100">
        <f t="shared" si="8"/>
        <v>8382591</v>
      </c>
      <c r="U50" s="265" t="s">
        <v>31</v>
      </c>
      <c r="V50" s="98"/>
      <c r="W50" s="99"/>
      <c r="X50" s="98"/>
      <c r="Y50" s="99">
        <f t="shared" si="13"/>
        <v>3.9899999999999936E-2</v>
      </c>
      <c r="Z50" s="98"/>
      <c r="AA50" s="98"/>
      <c r="AB50" s="99"/>
      <c r="AC50" s="99">
        <f t="shared" si="9"/>
        <v>3.9899999999999936E-2</v>
      </c>
      <c r="AD50" s="100">
        <f t="shared" si="10"/>
        <v>59450.999999999905</v>
      </c>
      <c r="AE50" s="266" t="s">
        <v>258</v>
      </c>
    </row>
    <row r="51" spans="1:31" ht="59.25" customHeight="1" x14ac:dyDescent="0.25">
      <c r="A51" s="102"/>
      <c r="B51" s="92" t="s">
        <v>33</v>
      </c>
      <c r="C51" s="69"/>
      <c r="D51" s="106">
        <f t="shared" ref="D51:AD51" si="16">SUM(D52:D118)</f>
        <v>216.78000000000006</v>
      </c>
      <c r="E51" s="106">
        <f t="shared" si="16"/>
        <v>0</v>
      </c>
      <c r="F51" s="106">
        <f t="shared" si="16"/>
        <v>5.25</v>
      </c>
      <c r="G51" s="71">
        <f t="shared" si="16"/>
        <v>20.723099999999992</v>
      </c>
      <c r="H51" s="106">
        <f t="shared" si="16"/>
        <v>0</v>
      </c>
      <c r="I51" s="71">
        <f t="shared" si="16"/>
        <v>55.507500000000014</v>
      </c>
      <c r="J51" s="71">
        <f t="shared" si="16"/>
        <v>298.26059999999995</v>
      </c>
      <c r="K51" s="70">
        <f t="shared" si="16"/>
        <v>444408294</v>
      </c>
      <c r="L51" s="106">
        <f t="shared" si="16"/>
        <v>0</v>
      </c>
      <c r="M51" s="106">
        <f t="shared" si="16"/>
        <v>222.31000000000006</v>
      </c>
      <c r="N51" s="106">
        <f t="shared" si="16"/>
        <v>0</v>
      </c>
      <c r="O51" s="106">
        <f t="shared" si="16"/>
        <v>5.25</v>
      </c>
      <c r="P51" s="71">
        <f t="shared" si="16"/>
        <v>22.943400000000004</v>
      </c>
      <c r="Q51" s="106">
        <f t="shared" si="16"/>
        <v>0</v>
      </c>
      <c r="R51" s="71">
        <f t="shared" si="16"/>
        <v>55.507500000000014</v>
      </c>
      <c r="S51" s="71">
        <f t="shared" si="16"/>
        <v>306.01089999999994</v>
      </c>
      <c r="T51" s="70">
        <f t="shared" si="16"/>
        <v>455956241</v>
      </c>
      <c r="U51" s="106">
        <f t="shared" si="16"/>
        <v>0</v>
      </c>
      <c r="V51" s="106">
        <f t="shared" si="16"/>
        <v>5.5299999999999994</v>
      </c>
      <c r="W51" s="106">
        <f t="shared" si="16"/>
        <v>0</v>
      </c>
      <c r="X51" s="106">
        <f t="shared" si="16"/>
        <v>0</v>
      </c>
      <c r="Y51" s="71">
        <f t="shared" si="16"/>
        <v>2.2202999999999999</v>
      </c>
      <c r="Z51" s="106">
        <f t="shared" si="16"/>
        <v>0</v>
      </c>
      <c r="AA51" s="106">
        <f t="shared" si="16"/>
        <v>0</v>
      </c>
      <c r="AB51" s="106">
        <f t="shared" si="16"/>
        <v>0</v>
      </c>
      <c r="AC51" s="71">
        <f t="shared" si="16"/>
        <v>7.7502999999999993</v>
      </c>
      <c r="AD51" s="70">
        <f t="shared" si="16"/>
        <v>11547947</v>
      </c>
      <c r="AE51" s="106">
        <v>0</v>
      </c>
    </row>
    <row r="52" spans="1:31" ht="36.75" customHeight="1" x14ac:dyDescent="0.25">
      <c r="A52" s="96">
        <v>1</v>
      </c>
      <c r="B52" s="77" t="s">
        <v>118</v>
      </c>
      <c r="C52" s="79"/>
      <c r="D52" s="35">
        <v>3.66</v>
      </c>
      <c r="E52" s="80"/>
      <c r="F52" s="80">
        <v>0.45</v>
      </c>
      <c r="G52" s="80">
        <f>ROUND((D52+E52+F52)*10/100,4)</f>
        <v>0.41099999999999998</v>
      </c>
      <c r="H52" s="81"/>
      <c r="I52" s="80">
        <f>ROUND((D52+E52+F52)*25/100,4)</f>
        <v>1.0275000000000001</v>
      </c>
      <c r="J52" s="80">
        <f>ROUND(SUM(D52:I52),4)</f>
        <v>5.5484999999999998</v>
      </c>
      <c r="K52" s="76">
        <f>ROUND(J52*$B$6,0)</f>
        <v>8267265</v>
      </c>
      <c r="L52" s="82"/>
      <c r="M52" s="88">
        <v>3.66</v>
      </c>
      <c r="N52" s="80"/>
      <c r="O52" s="80">
        <v>0.45</v>
      </c>
      <c r="P52" s="80">
        <f>ROUND((M52+N52+O52)*11/100,4)</f>
        <v>0.4521</v>
      </c>
      <c r="Q52" s="81"/>
      <c r="R52" s="80">
        <f>ROUND((M52+N52+O52)*25/100,4)</f>
        <v>1.0275000000000001</v>
      </c>
      <c r="S52" s="64">
        <f>ROUND(SUM(M52:R52),4)</f>
        <v>5.5895999999999999</v>
      </c>
      <c r="T52" s="83">
        <f>ROUND(S52*$B$6,0)</f>
        <v>8328504</v>
      </c>
      <c r="U52" s="60" t="s">
        <v>34</v>
      </c>
      <c r="V52" s="85">
        <f t="shared" ref="V52:V116" si="17">M52-D52</f>
        <v>0</v>
      </c>
      <c r="W52" s="85"/>
      <c r="X52" s="85">
        <f>O52-F52</f>
        <v>0</v>
      </c>
      <c r="Y52" s="85">
        <f>P52-G52</f>
        <v>4.1100000000000025E-2</v>
      </c>
      <c r="Z52" s="85"/>
      <c r="AA52" s="85"/>
      <c r="AB52" s="85">
        <f>R52-I52</f>
        <v>0</v>
      </c>
      <c r="AC52" s="85">
        <f>SUM(V52:AB52)</f>
        <v>4.1100000000000025E-2</v>
      </c>
      <c r="AD52" s="86">
        <f>AC52*$B$6</f>
        <v>61239.000000000036</v>
      </c>
      <c r="AE52" s="84" t="s">
        <v>249</v>
      </c>
    </row>
    <row r="53" spans="1:31" ht="35.25" customHeight="1" x14ac:dyDescent="0.25">
      <c r="A53" s="96">
        <v>2</v>
      </c>
      <c r="B53" s="77" t="s">
        <v>267</v>
      </c>
      <c r="C53" s="79"/>
      <c r="D53" s="35">
        <v>3</v>
      </c>
      <c r="E53" s="80"/>
      <c r="F53" s="80"/>
      <c r="G53" s="80">
        <f>ROUND((D53+E53+F53)*7/100,4)</f>
        <v>0.21</v>
      </c>
      <c r="H53" s="81"/>
      <c r="I53" s="80">
        <f t="shared" ref="I53:I115" si="18">ROUND((D53+E53+F53)*25/100,4)</f>
        <v>0.75</v>
      </c>
      <c r="J53" s="80">
        <f t="shared" ref="J53:J115" si="19">ROUND(SUM(D53:I53),4)</f>
        <v>3.96</v>
      </c>
      <c r="K53" s="76">
        <f t="shared" ref="K53:K115" si="20">ROUND(J53*$B$6,0)</f>
        <v>5900400</v>
      </c>
      <c r="L53" s="82"/>
      <c r="M53" s="88">
        <v>3</v>
      </c>
      <c r="N53" s="80"/>
      <c r="O53" s="80"/>
      <c r="P53" s="80">
        <f>ROUND((M53+N53+O53)*8/100,4)</f>
        <v>0.24</v>
      </c>
      <c r="Q53" s="81"/>
      <c r="R53" s="80">
        <f t="shared" ref="R53:R115" si="21">ROUND((M53+N53+O53)*25/100,4)</f>
        <v>0.75</v>
      </c>
      <c r="S53" s="64">
        <f t="shared" ref="S53:S115" si="22">ROUND(SUM(M53:R53),4)</f>
        <v>3.99</v>
      </c>
      <c r="T53" s="83">
        <f t="shared" ref="T53:T115" si="23">ROUND(S53*$B$6,0)</f>
        <v>5945100</v>
      </c>
      <c r="U53" s="60" t="s">
        <v>34</v>
      </c>
      <c r="V53" s="85">
        <f t="shared" si="17"/>
        <v>0</v>
      </c>
      <c r="W53" s="85">
        <f>N53-E53</f>
        <v>0</v>
      </c>
      <c r="X53" s="85"/>
      <c r="Y53" s="85">
        <f t="shared" ref="Y53:Y115" si="24">P53-G53</f>
        <v>0.03</v>
      </c>
      <c r="Z53" s="85"/>
      <c r="AA53" s="85"/>
      <c r="AB53" s="85"/>
      <c r="AC53" s="85">
        <f t="shared" ref="AC53:AC115" si="25">SUM(V53:AB53)</f>
        <v>0.03</v>
      </c>
      <c r="AD53" s="86">
        <f t="shared" ref="AD53:AD115" si="26">AC53*$B$6</f>
        <v>44700</v>
      </c>
      <c r="AE53" s="84" t="s">
        <v>268</v>
      </c>
    </row>
    <row r="54" spans="1:31" ht="35.25" customHeight="1" x14ac:dyDescent="0.25">
      <c r="A54" s="96">
        <v>3</v>
      </c>
      <c r="B54" s="77" t="s">
        <v>269</v>
      </c>
      <c r="C54" s="79"/>
      <c r="D54" s="35">
        <v>3</v>
      </c>
      <c r="E54" s="80"/>
      <c r="F54" s="80"/>
      <c r="G54" s="80">
        <f>ROUND((D54+E54+F54)*7/100,4)</f>
        <v>0.21</v>
      </c>
      <c r="H54" s="81"/>
      <c r="I54" s="80">
        <f t="shared" si="18"/>
        <v>0.75</v>
      </c>
      <c r="J54" s="80">
        <f t="shared" si="19"/>
        <v>3.96</v>
      </c>
      <c r="K54" s="76">
        <f t="shared" si="20"/>
        <v>5900400</v>
      </c>
      <c r="L54" s="82"/>
      <c r="M54" s="88">
        <v>3</v>
      </c>
      <c r="N54" s="80"/>
      <c r="O54" s="80"/>
      <c r="P54" s="80">
        <f>ROUND((M54+N54+O54)*8/100,4)</f>
        <v>0.24</v>
      </c>
      <c r="Q54" s="81"/>
      <c r="R54" s="80">
        <f t="shared" si="21"/>
        <v>0.75</v>
      </c>
      <c r="S54" s="64">
        <f t="shared" si="22"/>
        <v>3.99</v>
      </c>
      <c r="T54" s="83">
        <f t="shared" si="23"/>
        <v>5945100</v>
      </c>
      <c r="U54" s="60" t="s">
        <v>34</v>
      </c>
      <c r="V54" s="85">
        <f t="shared" si="17"/>
        <v>0</v>
      </c>
      <c r="W54" s="85"/>
      <c r="X54" s="85"/>
      <c r="Y54" s="85">
        <f t="shared" si="24"/>
        <v>0.03</v>
      </c>
      <c r="Z54" s="85"/>
      <c r="AA54" s="85"/>
      <c r="AB54" s="85"/>
      <c r="AC54" s="85">
        <f t="shared" si="25"/>
        <v>0.03</v>
      </c>
      <c r="AD54" s="86">
        <f t="shared" si="26"/>
        <v>44700</v>
      </c>
      <c r="AE54" s="84" t="s">
        <v>268</v>
      </c>
    </row>
    <row r="55" spans="1:31" ht="35.25" customHeight="1" x14ac:dyDescent="0.25">
      <c r="A55" s="96">
        <v>4</v>
      </c>
      <c r="B55" s="77" t="s">
        <v>275</v>
      </c>
      <c r="C55" s="79"/>
      <c r="D55" s="35">
        <v>3.66</v>
      </c>
      <c r="E55" s="80"/>
      <c r="F55" s="80">
        <v>0.25</v>
      </c>
      <c r="G55" s="80">
        <f>ROUND((D55+E55+F55)*11/100,4)</f>
        <v>0.43009999999999998</v>
      </c>
      <c r="H55" s="81"/>
      <c r="I55" s="80">
        <f t="shared" si="18"/>
        <v>0.97750000000000004</v>
      </c>
      <c r="J55" s="80">
        <f t="shared" si="19"/>
        <v>5.3175999999999997</v>
      </c>
      <c r="K55" s="76">
        <f t="shared" si="20"/>
        <v>7923224</v>
      </c>
      <c r="L55" s="82"/>
      <c r="M55" s="88">
        <v>3.66</v>
      </c>
      <c r="N55" s="80"/>
      <c r="O55" s="80">
        <v>0.25</v>
      </c>
      <c r="P55" s="80">
        <f>ROUND((M55+N55+O55)*12/100,4)</f>
        <v>0.46920000000000001</v>
      </c>
      <c r="Q55" s="81"/>
      <c r="R55" s="80">
        <f t="shared" si="21"/>
        <v>0.97750000000000004</v>
      </c>
      <c r="S55" s="64">
        <f t="shared" si="22"/>
        <v>5.3567</v>
      </c>
      <c r="T55" s="83">
        <f t="shared" si="23"/>
        <v>7981483</v>
      </c>
      <c r="U55" s="60" t="s">
        <v>34</v>
      </c>
      <c r="V55" s="85">
        <f t="shared" si="17"/>
        <v>0</v>
      </c>
      <c r="W55" s="85"/>
      <c r="X55" s="85"/>
      <c r="Y55" s="85">
        <f t="shared" si="24"/>
        <v>3.9100000000000024E-2</v>
      </c>
      <c r="Z55" s="85"/>
      <c r="AA55" s="85"/>
      <c r="AB55" s="85"/>
      <c r="AC55" s="85">
        <f t="shared" si="25"/>
        <v>3.9100000000000024E-2</v>
      </c>
      <c r="AD55" s="86">
        <f t="shared" si="26"/>
        <v>58259.000000000036</v>
      </c>
      <c r="AE55" s="84" t="s">
        <v>276</v>
      </c>
    </row>
    <row r="56" spans="1:31" ht="35.25" customHeight="1" x14ac:dyDescent="0.25">
      <c r="A56" s="96">
        <v>5</v>
      </c>
      <c r="B56" s="77" t="s">
        <v>277</v>
      </c>
      <c r="C56" s="79"/>
      <c r="D56" s="148">
        <v>3.66</v>
      </c>
      <c r="E56" s="80"/>
      <c r="F56" s="80"/>
      <c r="G56" s="80">
        <f>ROUND((D56+E56+F56)*12/100,4)</f>
        <v>0.43919999999999998</v>
      </c>
      <c r="H56" s="81"/>
      <c r="I56" s="80">
        <f t="shared" si="18"/>
        <v>0.91500000000000004</v>
      </c>
      <c r="J56" s="80">
        <f t="shared" si="19"/>
        <v>5.0141999999999998</v>
      </c>
      <c r="K56" s="76">
        <f t="shared" si="20"/>
        <v>7471158</v>
      </c>
      <c r="L56" s="82"/>
      <c r="M56" s="88">
        <v>3.66</v>
      </c>
      <c r="N56" s="80"/>
      <c r="O56" s="80"/>
      <c r="P56" s="80">
        <f>ROUND((M56+N56+O56)*13/100,4)</f>
        <v>0.4758</v>
      </c>
      <c r="Q56" s="81"/>
      <c r="R56" s="80">
        <f t="shared" si="21"/>
        <v>0.91500000000000004</v>
      </c>
      <c r="S56" s="64">
        <f t="shared" si="22"/>
        <v>5.0507999999999997</v>
      </c>
      <c r="T56" s="83">
        <f t="shared" si="23"/>
        <v>7525692</v>
      </c>
      <c r="U56" s="60" t="s">
        <v>34</v>
      </c>
      <c r="V56" s="85">
        <f t="shared" si="17"/>
        <v>0</v>
      </c>
      <c r="W56" s="85">
        <f>N56-E56</f>
        <v>0</v>
      </c>
      <c r="X56" s="85"/>
      <c r="Y56" s="85">
        <f t="shared" si="24"/>
        <v>3.6600000000000021E-2</v>
      </c>
      <c r="Z56" s="85"/>
      <c r="AA56" s="85"/>
      <c r="AB56" s="85"/>
      <c r="AC56" s="85">
        <f t="shared" si="25"/>
        <v>3.6600000000000021E-2</v>
      </c>
      <c r="AD56" s="86">
        <f t="shared" si="26"/>
        <v>54534.000000000029</v>
      </c>
      <c r="AE56" s="84" t="s">
        <v>278</v>
      </c>
    </row>
    <row r="57" spans="1:31" ht="35.25" customHeight="1" x14ac:dyDescent="0.25">
      <c r="A57" s="96">
        <v>6</v>
      </c>
      <c r="B57" s="77" t="s">
        <v>280</v>
      </c>
      <c r="C57" s="79"/>
      <c r="D57" s="148">
        <v>3.33</v>
      </c>
      <c r="E57" s="80"/>
      <c r="F57" s="80">
        <v>0.25</v>
      </c>
      <c r="G57" s="80">
        <f>ROUND((D57+E57+F57)*9/100,4)</f>
        <v>0.32219999999999999</v>
      </c>
      <c r="H57" s="81"/>
      <c r="I57" s="80">
        <f t="shared" si="18"/>
        <v>0.89500000000000002</v>
      </c>
      <c r="J57" s="80">
        <f t="shared" si="19"/>
        <v>4.7972000000000001</v>
      </c>
      <c r="K57" s="76">
        <f t="shared" si="20"/>
        <v>7147828</v>
      </c>
      <c r="L57" s="82"/>
      <c r="M57" s="88">
        <v>3.33</v>
      </c>
      <c r="N57" s="80"/>
      <c r="O57" s="80">
        <v>0.25</v>
      </c>
      <c r="P57" s="80">
        <f>ROUND((M57+N57+O57)*10/100,4)</f>
        <v>0.35799999999999998</v>
      </c>
      <c r="Q57" s="81"/>
      <c r="R57" s="80">
        <f t="shared" si="21"/>
        <v>0.89500000000000002</v>
      </c>
      <c r="S57" s="64">
        <f t="shared" si="22"/>
        <v>4.8330000000000002</v>
      </c>
      <c r="T57" s="83">
        <f t="shared" si="23"/>
        <v>7201170</v>
      </c>
      <c r="U57" s="60" t="s">
        <v>34</v>
      </c>
      <c r="V57" s="85"/>
      <c r="W57" s="85"/>
      <c r="X57" s="85"/>
      <c r="Y57" s="85">
        <f t="shared" si="24"/>
        <v>3.5799999999999998E-2</v>
      </c>
      <c r="Z57" s="85"/>
      <c r="AA57" s="85"/>
      <c r="AB57" s="85"/>
      <c r="AC57" s="85">
        <f t="shared" si="25"/>
        <v>3.5799999999999998E-2</v>
      </c>
      <c r="AD57" s="86">
        <f t="shared" si="26"/>
        <v>53342</v>
      </c>
      <c r="AE57" s="140" t="s">
        <v>281</v>
      </c>
    </row>
    <row r="58" spans="1:31" ht="35.25" customHeight="1" x14ac:dyDescent="0.25">
      <c r="A58" s="96">
        <v>7</v>
      </c>
      <c r="B58" s="77" t="s">
        <v>282</v>
      </c>
      <c r="C58" s="79"/>
      <c r="D58" s="148">
        <v>3.66</v>
      </c>
      <c r="E58" s="80"/>
      <c r="F58" s="80">
        <v>0.25</v>
      </c>
      <c r="G58" s="80">
        <f>ROUND((D58+E58+F58)*11/100,4)</f>
        <v>0.43009999999999998</v>
      </c>
      <c r="H58" s="81"/>
      <c r="I58" s="80">
        <f t="shared" si="18"/>
        <v>0.97750000000000004</v>
      </c>
      <c r="J58" s="80">
        <f t="shared" si="19"/>
        <v>5.3175999999999997</v>
      </c>
      <c r="K58" s="76">
        <f t="shared" si="20"/>
        <v>7923224</v>
      </c>
      <c r="L58" s="82"/>
      <c r="M58" s="88">
        <v>3.66</v>
      </c>
      <c r="N58" s="80"/>
      <c r="O58" s="80">
        <v>0.25</v>
      </c>
      <c r="P58" s="80">
        <f>ROUND((M58+N58+O58)*12/100,4)</f>
        <v>0.46920000000000001</v>
      </c>
      <c r="Q58" s="81"/>
      <c r="R58" s="80">
        <f t="shared" si="21"/>
        <v>0.97750000000000004</v>
      </c>
      <c r="S58" s="64">
        <f t="shared" si="22"/>
        <v>5.3567</v>
      </c>
      <c r="T58" s="83">
        <f t="shared" si="23"/>
        <v>7981483</v>
      </c>
      <c r="U58" s="60" t="s">
        <v>34</v>
      </c>
      <c r="V58" s="85"/>
      <c r="W58" s="85"/>
      <c r="X58" s="85"/>
      <c r="Y58" s="85">
        <f t="shared" si="24"/>
        <v>3.9100000000000024E-2</v>
      </c>
      <c r="Z58" s="85"/>
      <c r="AA58" s="85"/>
      <c r="AB58" s="85"/>
      <c r="AC58" s="85">
        <f t="shared" si="25"/>
        <v>3.9100000000000024E-2</v>
      </c>
      <c r="AD58" s="86">
        <f t="shared" si="26"/>
        <v>58259.000000000036</v>
      </c>
      <c r="AE58" s="140" t="s">
        <v>276</v>
      </c>
    </row>
    <row r="59" spans="1:31" ht="35.25" customHeight="1" x14ac:dyDescent="0.25">
      <c r="A59" s="96">
        <v>8</v>
      </c>
      <c r="B59" s="77" t="s">
        <v>283</v>
      </c>
      <c r="C59" s="79"/>
      <c r="D59" s="148">
        <v>3.33</v>
      </c>
      <c r="E59" s="80"/>
      <c r="F59" s="80">
        <v>0.25</v>
      </c>
      <c r="G59" s="80">
        <f>ROUND((D59+E59+F59)*8/100,4)</f>
        <v>0.28639999999999999</v>
      </c>
      <c r="H59" s="81"/>
      <c r="I59" s="80">
        <f t="shared" si="18"/>
        <v>0.89500000000000002</v>
      </c>
      <c r="J59" s="80">
        <f t="shared" si="19"/>
        <v>4.7614000000000001</v>
      </c>
      <c r="K59" s="76">
        <f t="shared" si="20"/>
        <v>7094486</v>
      </c>
      <c r="L59" s="82"/>
      <c r="M59" s="88">
        <v>3.33</v>
      </c>
      <c r="N59" s="80"/>
      <c r="O59" s="80">
        <v>0.25</v>
      </c>
      <c r="P59" s="80">
        <f>ROUND((M59+N59+O59)*9/100,4)</f>
        <v>0.32219999999999999</v>
      </c>
      <c r="Q59" s="81"/>
      <c r="R59" s="80">
        <f t="shared" si="21"/>
        <v>0.89500000000000002</v>
      </c>
      <c r="S59" s="64">
        <f t="shared" si="22"/>
        <v>4.7972000000000001</v>
      </c>
      <c r="T59" s="83">
        <f t="shared" si="23"/>
        <v>7147828</v>
      </c>
      <c r="U59" s="60" t="s">
        <v>34</v>
      </c>
      <c r="V59" s="85"/>
      <c r="W59" s="85"/>
      <c r="X59" s="85"/>
      <c r="Y59" s="85">
        <f t="shared" si="24"/>
        <v>3.5799999999999998E-2</v>
      </c>
      <c r="Z59" s="85"/>
      <c r="AA59" s="85"/>
      <c r="AB59" s="85"/>
      <c r="AC59" s="85">
        <f t="shared" si="25"/>
        <v>3.5799999999999998E-2</v>
      </c>
      <c r="AD59" s="86">
        <f t="shared" si="26"/>
        <v>53342</v>
      </c>
      <c r="AE59" s="140" t="s">
        <v>284</v>
      </c>
    </row>
    <row r="60" spans="1:31" ht="42" customHeight="1" x14ac:dyDescent="0.25">
      <c r="A60" s="96">
        <v>9</v>
      </c>
      <c r="B60" s="77" t="s">
        <v>285</v>
      </c>
      <c r="C60" s="79"/>
      <c r="D60" s="148">
        <v>3.66</v>
      </c>
      <c r="E60" s="80"/>
      <c r="F60" s="80"/>
      <c r="G60" s="80">
        <f>ROUND((D60+E60+F60)*12/100,4)</f>
        <v>0.43919999999999998</v>
      </c>
      <c r="H60" s="81"/>
      <c r="I60" s="80">
        <f t="shared" si="18"/>
        <v>0.91500000000000004</v>
      </c>
      <c r="J60" s="80">
        <f t="shared" si="19"/>
        <v>5.0141999999999998</v>
      </c>
      <c r="K60" s="76">
        <f t="shared" si="20"/>
        <v>7471158</v>
      </c>
      <c r="L60" s="82"/>
      <c r="M60" s="88">
        <v>3.66</v>
      </c>
      <c r="N60" s="80"/>
      <c r="O60" s="80"/>
      <c r="P60" s="80">
        <f>ROUND((M60+N60+O60)*13/100,4)</f>
        <v>0.4758</v>
      </c>
      <c r="Q60" s="81"/>
      <c r="R60" s="80">
        <f t="shared" si="21"/>
        <v>0.91500000000000004</v>
      </c>
      <c r="S60" s="64">
        <f t="shared" si="22"/>
        <v>5.0507999999999997</v>
      </c>
      <c r="T60" s="83">
        <f t="shared" si="23"/>
        <v>7525692</v>
      </c>
      <c r="U60" s="60" t="s">
        <v>34</v>
      </c>
      <c r="V60" s="85"/>
      <c r="W60" s="85"/>
      <c r="X60" s="85"/>
      <c r="Y60" s="85">
        <f t="shared" si="24"/>
        <v>3.6600000000000021E-2</v>
      </c>
      <c r="Z60" s="85"/>
      <c r="AA60" s="85"/>
      <c r="AB60" s="85"/>
      <c r="AC60" s="85">
        <f t="shared" si="25"/>
        <v>3.6600000000000021E-2</v>
      </c>
      <c r="AD60" s="86">
        <f t="shared" si="26"/>
        <v>54534.000000000029</v>
      </c>
      <c r="AE60" s="140" t="s">
        <v>278</v>
      </c>
    </row>
    <row r="61" spans="1:31" ht="35.25" customHeight="1" x14ac:dyDescent="0.25">
      <c r="A61" s="96">
        <v>10</v>
      </c>
      <c r="B61" s="77" t="s">
        <v>215</v>
      </c>
      <c r="C61" s="79"/>
      <c r="D61" s="148">
        <v>2.67</v>
      </c>
      <c r="E61" s="80"/>
      <c r="F61" s="80"/>
      <c r="G61" s="80">
        <f>ROUND((D61+E61+F61)*5/100,4)</f>
        <v>0.13350000000000001</v>
      </c>
      <c r="H61" s="81"/>
      <c r="I61" s="80">
        <f t="shared" si="18"/>
        <v>0.66749999999999998</v>
      </c>
      <c r="J61" s="80">
        <f t="shared" si="19"/>
        <v>3.4710000000000001</v>
      </c>
      <c r="K61" s="76">
        <f t="shared" si="20"/>
        <v>5171790</v>
      </c>
      <c r="L61" s="82"/>
      <c r="M61" s="88">
        <v>2.67</v>
      </c>
      <c r="N61" s="80"/>
      <c r="O61" s="80"/>
      <c r="P61" s="80">
        <f>ROUND((M61+N61+O61)*6/100,4)</f>
        <v>0.16020000000000001</v>
      </c>
      <c r="Q61" s="81"/>
      <c r="R61" s="80">
        <f t="shared" si="21"/>
        <v>0.66749999999999998</v>
      </c>
      <c r="S61" s="64">
        <f t="shared" si="22"/>
        <v>3.4977</v>
      </c>
      <c r="T61" s="83">
        <f t="shared" si="23"/>
        <v>5211573</v>
      </c>
      <c r="U61" s="60" t="s">
        <v>34</v>
      </c>
      <c r="V61" s="85"/>
      <c r="W61" s="85"/>
      <c r="X61" s="85"/>
      <c r="Y61" s="85">
        <f t="shared" si="24"/>
        <v>2.6700000000000002E-2</v>
      </c>
      <c r="Z61" s="85"/>
      <c r="AA61" s="85"/>
      <c r="AB61" s="85"/>
      <c r="AC61" s="85">
        <f t="shared" si="25"/>
        <v>2.6700000000000002E-2</v>
      </c>
      <c r="AD61" s="86">
        <f t="shared" si="26"/>
        <v>39783</v>
      </c>
      <c r="AE61" s="140" t="s">
        <v>286</v>
      </c>
    </row>
    <row r="62" spans="1:31" ht="35.25" customHeight="1" x14ac:dyDescent="0.25">
      <c r="A62" s="96">
        <v>11</v>
      </c>
      <c r="B62" s="77" t="s">
        <v>287</v>
      </c>
      <c r="C62" s="79"/>
      <c r="D62" s="148">
        <v>3.66</v>
      </c>
      <c r="E62" s="80"/>
      <c r="F62" s="80"/>
      <c r="G62" s="80">
        <f>ROUND((D62+E62+F62)*12/100,4)</f>
        <v>0.43919999999999998</v>
      </c>
      <c r="H62" s="81"/>
      <c r="I62" s="80">
        <f t="shared" si="18"/>
        <v>0.91500000000000004</v>
      </c>
      <c r="J62" s="80">
        <f t="shared" si="19"/>
        <v>5.0141999999999998</v>
      </c>
      <c r="K62" s="76">
        <f t="shared" si="20"/>
        <v>7471158</v>
      </c>
      <c r="L62" s="82"/>
      <c r="M62" s="88">
        <v>3.66</v>
      </c>
      <c r="N62" s="80"/>
      <c r="O62" s="80"/>
      <c r="P62" s="80">
        <f>ROUND((M62+N62+O62)*13/100,4)</f>
        <v>0.4758</v>
      </c>
      <c r="Q62" s="81"/>
      <c r="R62" s="80">
        <f t="shared" si="21"/>
        <v>0.91500000000000004</v>
      </c>
      <c r="S62" s="64">
        <f t="shared" si="22"/>
        <v>5.0507999999999997</v>
      </c>
      <c r="T62" s="83">
        <f t="shared" si="23"/>
        <v>7525692</v>
      </c>
      <c r="U62" s="60" t="s">
        <v>34</v>
      </c>
      <c r="V62" s="85"/>
      <c r="W62" s="85"/>
      <c r="X62" s="85"/>
      <c r="Y62" s="85">
        <f t="shared" si="24"/>
        <v>3.6600000000000021E-2</v>
      </c>
      <c r="Z62" s="85"/>
      <c r="AA62" s="85"/>
      <c r="AB62" s="85"/>
      <c r="AC62" s="85">
        <f t="shared" si="25"/>
        <v>3.6600000000000021E-2</v>
      </c>
      <c r="AD62" s="86">
        <f t="shared" si="26"/>
        <v>54534.000000000029</v>
      </c>
      <c r="AE62" s="140" t="s">
        <v>278</v>
      </c>
    </row>
    <row r="63" spans="1:31" ht="35.25" customHeight="1" x14ac:dyDescent="0.25">
      <c r="A63" s="96">
        <v>12</v>
      </c>
      <c r="B63" s="77" t="s">
        <v>288</v>
      </c>
      <c r="C63" s="79"/>
      <c r="D63" s="148">
        <v>3.33</v>
      </c>
      <c r="E63" s="80"/>
      <c r="F63" s="80"/>
      <c r="G63" s="80">
        <f t="shared" ref="G63:G86" si="27">ROUND((D63+E63+F63)*10/100,4)</f>
        <v>0.33300000000000002</v>
      </c>
      <c r="H63" s="81"/>
      <c r="I63" s="80">
        <f t="shared" si="18"/>
        <v>0.83250000000000002</v>
      </c>
      <c r="J63" s="80">
        <f t="shared" si="19"/>
        <v>4.4954999999999998</v>
      </c>
      <c r="K63" s="76">
        <f t="shared" si="20"/>
        <v>6698295</v>
      </c>
      <c r="L63" s="82"/>
      <c r="M63" s="88">
        <v>3.33</v>
      </c>
      <c r="N63" s="80"/>
      <c r="O63" s="80"/>
      <c r="P63" s="80">
        <f t="shared" ref="P63:P86" si="28">ROUND((M63+N63+O63)*11/100,4)</f>
        <v>0.36630000000000001</v>
      </c>
      <c r="Q63" s="81"/>
      <c r="R63" s="80">
        <f t="shared" si="21"/>
        <v>0.83250000000000002</v>
      </c>
      <c r="S63" s="64">
        <f t="shared" si="22"/>
        <v>4.5288000000000004</v>
      </c>
      <c r="T63" s="83">
        <f t="shared" si="23"/>
        <v>6747912</v>
      </c>
      <c r="U63" s="60" t="s">
        <v>34</v>
      </c>
      <c r="V63" s="85"/>
      <c r="W63" s="85"/>
      <c r="X63" s="85"/>
      <c r="Y63" s="85">
        <f t="shared" si="24"/>
        <v>3.3299999999999996E-2</v>
      </c>
      <c r="Z63" s="85"/>
      <c r="AA63" s="85"/>
      <c r="AB63" s="85"/>
      <c r="AC63" s="85">
        <f t="shared" si="25"/>
        <v>3.3299999999999996E-2</v>
      </c>
      <c r="AD63" s="86">
        <f t="shared" si="26"/>
        <v>49616.999999999993</v>
      </c>
      <c r="AE63" s="140" t="s">
        <v>249</v>
      </c>
    </row>
    <row r="64" spans="1:31" ht="35.25" customHeight="1" x14ac:dyDescent="0.25">
      <c r="A64" s="96">
        <v>13</v>
      </c>
      <c r="B64" s="77" t="s">
        <v>289</v>
      </c>
      <c r="C64" s="79"/>
      <c r="D64" s="148">
        <v>3.33</v>
      </c>
      <c r="E64" s="80"/>
      <c r="F64" s="80"/>
      <c r="G64" s="80">
        <f t="shared" si="27"/>
        <v>0.33300000000000002</v>
      </c>
      <c r="H64" s="81"/>
      <c r="I64" s="80">
        <f t="shared" si="18"/>
        <v>0.83250000000000002</v>
      </c>
      <c r="J64" s="80">
        <f t="shared" si="19"/>
        <v>4.4954999999999998</v>
      </c>
      <c r="K64" s="76">
        <f t="shared" si="20"/>
        <v>6698295</v>
      </c>
      <c r="L64" s="82"/>
      <c r="M64" s="88">
        <v>3.33</v>
      </c>
      <c r="N64" s="80"/>
      <c r="O64" s="80"/>
      <c r="P64" s="80">
        <f t="shared" si="28"/>
        <v>0.36630000000000001</v>
      </c>
      <c r="Q64" s="81"/>
      <c r="R64" s="80">
        <f t="shared" si="21"/>
        <v>0.83250000000000002</v>
      </c>
      <c r="S64" s="64">
        <f t="shared" si="22"/>
        <v>4.5288000000000004</v>
      </c>
      <c r="T64" s="83">
        <f t="shared" si="23"/>
        <v>6747912</v>
      </c>
      <c r="U64" s="60" t="s">
        <v>34</v>
      </c>
      <c r="V64" s="85"/>
      <c r="W64" s="85"/>
      <c r="X64" s="85"/>
      <c r="Y64" s="85">
        <f t="shared" si="24"/>
        <v>3.3299999999999996E-2</v>
      </c>
      <c r="Z64" s="85"/>
      <c r="AA64" s="85"/>
      <c r="AB64" s="85"/>
      <c r="AC64" s="85">
        <f t="shared" si="25"/>
        <v>3.3299999999999996E-2</v>
      </c>
      <c r="AD64" s="86">
        <f t="shared" si="26"/>
        <v>49616.999999999993</v>
      </c>
      <c r="AE64" s="140" t="s">
        <v>249</v>
      </c>
    </row>
    <row r="65" spans="1:31" ht="35.25" customHeight="1" x14ac:dyDescent="0.25">
      <c r="A65" s="96">
        <v>14</v>
      </c>
      <c r="B65" s="77" t="s">
        <v>107</v>
      </c>
      <c r="C65" s="79"/>
      <c r="D65" s="148">
        <v>3.66</v>
      </c>
      <c r="E65" s="80"/>
      <c r="F65" s="80"/>
      <c r="G65" s="80">
        <f t="shared" si="27"/>
        <v>0.36599999999999999</v>
      </c>
      <c r="H65" s="81"/>
      <c r="I65" s="80">
        <f t="shared" si="18"/>
        <v>0.91500000000000004</v>
      </c>
      <c r="J65" s="80">
        <f t="shared" si="19"/>
        <v>4.9409999999999998</v>
      </c>
      <c r="K65" s="76">
        <f t="shared" si="20"/>
        <v>7362090</v>
      </c>
      <c r="L65" s="82"/>
      <c r="M65" s="88">
        <v>3.66</v>
      </c>
      <c r="N65" s="80"/>
      <c r="O65" s="80"/>
      <c r="P65" s="80">
        <f t="shared" si="28"/>
        <v>0.40260000000000001</v>
      </c>
      <c r="Q65" s="81"/>
      <c r="R65" s="80">
        <f t="shared" si="21"/>
        <v>0.91500000000000004</v>
      </c>
      <c r="S65" s="64">
        <f t="shared" si="22"/>
        <v>4.9775999999999998</v>
      </c>
      <c r="T65" s="83">
        <f t="shared" si="23"/>
        <v>7416624</v>
      </c>
      <c r="U65" s="60" t="s">
        <v>34</v>
      </c>
      <c r="V65" s="85"/>
      <c r="W65" s="85"/>
      <c r="X65" s="85"/>
      <c r="Y65" s="85">
        <f t="shared" si="24"/>
        <v>3.6600000000000021E-2</v>
      </c>
      <c r="Z65" s="85"/>
      <c r="AA65" s="85"/>
      <c r="AB65" s="85"/>
      <c r="AC65" s="85">
        <f t="shared" si="25"/>
        <v>3.6600000000000021E-2</v>
      </c>
      <c r="AD65" s="86">
        <f t="shared" si="26"/>
        <v>54534.000000000029</v>
      </c>
      <c r="AE65" s="140" t="s">
        <v>249</v>
      </c>
    </row>
    <row r="66" spans="1:31" ht="35.25" customHeight="1" x14ac:dyDescent="0.25">
      <c r="A66" s="96">
        <v>15</v>
      </c>
      <c r="B66" s="77" t="s">
        <v>290</v>
      </c>
      <c r="C66" s="79"/>
      <c r="D66" s="148">
        <v>3.33</v>
      </c>
      <c r="E66" s="80"/>
      <c r="F66" s="80"/>
      <c r="G66" s="80">
        <f>ROUND((D66+E66+F66)*9/100,4)</f>
        <v>0.29970000000000002</v>
      </c>
      <c r="H66" s="81"/>
      <c r="I66" s="80">
        <f t="shared" si="18"/>
        <v>0.83250000000000002</v>
      </c>
      <c r="J66" s="80">
        <f t="shared" si="19"/>
        <v>4.4622000000000002</v>
      </c>
      <c r="K66" s="76">
        <f t="shared" si="20"/>
        <v>6648678</v>
      </c>
      <c r="L66" s="82"/>
      <c r="M66" s="88">
        <v>3.33</v>
      </c>
      <c r="N66" s="80"/>
      <c r="O66" s="80"/>
      <c r="P66" s="80">
        <f>ROUND((M66+N66+O66)*10/100,4)</f>
        <v>0.33300000000000002</v>
      </c>
      <c r="Q66" s="81"/>
      <c r="R66" s="80">
        <f t="shared" si="21"/>
        <v>0.83250000000000002</v>
      </c>
      <c r="S66" s="64">
        <f t="shared" si="22"/>
        <v>4.4954999999999998</v>
      </c>
      <c r="T66" s="83">
        <f t="shared" si="23"/>
        <v>6698295</v>
      </c>
      <c r="U66" s="60" t="s">
        <v>34</v>
      </c>
      <c r="V66" s="85"/>
      <c r="W66" s="85"/>
      <c r="X66" s="85"/>
      <c r="Y66" s="85">
        <f t="shared" si="24"/>
        <v>3.3299999999999996E-2</v>
      </c>
      <c r="Z66" s="85"/>
      <c r="AA66" s="85"/>
      <c r="AB66" s="85"/>
      <c r="AC66" s="85">
        <f t="shared" si="25"/>
        <v>3.3299999999999996E-2</v>
      </c>
      <c r="AD66" s="86">
        <f t="shared" si="26"/>
        <v>49616.999999999993</v>
      </c>
      <c r="AE66" s="140" t="s">
        <v>281</v>
      </c>
    </row>
    <row r="67" spans="1:31" ht="35.25" customHeight="1" x14ac:dyDescent="0.25">
      <c r="A67" s="96">
        <v>16</v>
      </c>
      <c r="B67" s="77" t="s">
        <v>291</v>
      </c>
      <c r="C67" s="79"/>
      <c r="D67" s="148">
        <v>3.33</v>
      </c>
      <c r="E67" s="80"/>
      <c r="F67" s="80"/>
      <c r="G67" s="80">
        <f>ROUND((D67+E67+F67)*9/100,4)</f>
        <v>0.29970000000000002</v>
      </c>
      <c r="H67" s="81"/>
      <c r="I67" s="80">
        <f t="shared" si="18"/>
        <v>0.83250000000000002</v>
      </c>
      <c r="J67" s="80">
        <f t="shared" si="19"/>
        <v>4.4622000000000002</v>
      </c>
      <c r="K67" s="76">
        <f t="shared" si="20"/>
        <v>6648678</v>
      </c>
      <c r="L67" s="82"/>
      <c r="M67" s="88">
        <v>3.33</v>
      </c>
      <c r="N67" s="80"/>
      <c r="O67" s="80"/>
      <c r="P67" s="80">
        <f>ROUND((M67+N67+O67)*10/100,4)</f>
        <v>0.33300000000000002</v>
      </c>
      <c r="Q67" s="81"/>
      <c r="R67" s="80">
        <f t="shared" si="21"/>
        <v>0.83250000000000002</v>
      </c>
      <c r="S67" s="64">
        <f t="shared" si="22"/>
        <v>4.4954999999999998</v>
      </c>
      <c r="T67" s="83">
        <f t="shared" si="23"/>
        <v>6698295</v>
      </c>
      <c r="U67" s="60" t="s">
        <v>34</v>
      </c>
      <c r="V67" s="85"/>
      <c r="W67" s="85"/>
      <c r="X67" s="85"/>
      <c r="Y67" s="85">
        <f t="shared" si="24"/>
        <v>3.3299999999999996E-2</v>
      </c>
      <c r="Z67" s="85"/>
      <c r="AA67" s="85"/>
      <c r="AB67" s="85"/>
      <c r="AC67" s="85">
        <f t="shared" si="25"/>
        <v>3.3299999999999996E-2</v>
      </c>
      <c r="AD67" s="86">
        <f t="shared" si="26"/>
        <v>49616.999999999993</v>
      </c>
      <c r="AE67" s="140" t="s">
        <v>281</v>
      </c>
    </row>
    <row r="68" spans="1:31" ht="35.25" customHeight="1" x14ac:dyDescent="0.25">
      <c r="A68" s="96">
        <v>17</v>
      </c>
      <c r="B68" s="77" t="s">
        <v>292</v>
      </c>
      <c r="C68" s="79"/>
      <c r="D68" s="148">
        <v>3.33</v>
      </c>
      <c r="E68" s="80"/>
      <c r="F68" s="80"/>
      <c r="G68" s="80">
        <f>ROUND((D68+E68+F68)*9/100,4)</f>
        <v>0.29970000000000002</v>
      </c>
      <c r="H68" s="81"/>
      <c r="I68" s="80">
        <f t="shared" si="18"/>
        <v>0.83250000000000002</v>
      </c>
      <c r="J68" s="80">
        <f t="shared" si="19"/>
        <v>4.4622000000000002</v>
      </c>
      <c r="K68" s="76">
        <f t="shared" si="20"/>
        <v>6648678</v>
      </c>
      <c r="L68" s="82"/>
      <c r="M68" s="88">
        <v>3.33</v>
      </c>
      <c r="N68" s="80"/>
      <c r="O68" s="80"/>
      <c r="P68" s="80">
        <f>ROUND((M68+N68+O68)*10/100,4)</f>
        <v>0.33300000000000002</v>
      </c>
      <c r="Q68" s="81"/>
      <c r="R68" s="80">
        <f t="shared" si="21"/>
        <v>0.83250000000000002</v>
      </c>
      <c r="S68" s="64">
        <f t="shared" si="22"/>
        <v>4.4954999999999998</v>
      </c>
      <c r="T68" s="83">
        <f t="shared" si="23"/>
        <v>6698295</v>
      </c>
      <c r="U68" s="60" t="s">
        <v>34</v>
      </c>
      <c r="V68" s="85"/>
      <c r="W68" s="85"/>
      <c r="X68" s="85"/>
      <c r="Y68" s="85">
        <f t="shared" si="24"/>
        <v>3.3299999999999996E-2</v>
      </c>
      <c r="Z68" s="85"/>
      <c r="AA68" s="85"/>
      <c r="AB68" s="85"/>
      <c r="AC68" s="85">
        <f t="shared" si="25"/>
        <v>3.3299999999999996E-2</v>
      </c>
      <c r="AD68" s="86">
        <f t="shared" si="26"/>
        <v>49616.999999999993</v>
      </c>
      <c r="AE68" s="140" t="s">
        <v>281</v>
      </c>
    </row>
    <row r="69" spans="1:31" ht="35.25" customHeight="1" x14ac:dyDescent="0.25">
      <c r="A69" s="96">
        <v>18</v>
      </c>
      <c r="B69" s="77" t="s">
        <v>293</v>
      </c>
      <c r="C69" s="79"/>
      <c r="D69" s="148">
        <v>3.33</v>
      </c>
      <c r="E69" s="80"/>
      <c r="F69" s="80"/>
      <c r="G69" s="80">
        <f>ROUND((D69+E69+F69)*9/100,4)</f>
        <v>0.29970000000000002</v>
      </c>
      <c r="H69" s="81"/>
      <c r="I69" s="80">
        <f t="shared" si="18"/>
        <v>0.83250000000000002</v>
      </c>
      <c r="J69" s="80">
        <f t="shared" si="19"/>
        <v>4.4622000000000002</v>
      </c>
      <c r="K69" s="76">
        <f t="shared" si="20"/>
        <v>6648678</v>
      </c>
      <c r="L69" s="82"/>
      <c r="M69" s="88">
        <v>3.33</v>
      </c>
      <c r="N69" s="80"/>
      <c r="O69" s="80"/>
      <c r="P69" s="80">
        <f>ROUND((M69+N69+O69)*10/100,4)</f>
        <v>0.33300000000000002</v>
      </c>
      <c r="Q69" s="81"/>
      <c r="R69" s="80">
        <f t="shared" si="21"/>
        <v>0.83250000000000002</v>
      </c>
      <c r="S69" s="64">
        <f t="shared" si="22"/>
        <v>4.4954999999999998</v>
      </c>
      <c r="T69" s="83">
        <f t="shared" si="23"/>
        <v>6698295</v>
      </c>
      <c r="U69" s="60" t="s">
        <v>34</v>
      </c>
      <c r="V69" s="85"/>
      <c r="W69" s="85"/>
      <c r="X69" s="85"/>
      <c r="Y69" s="85">
        <f t="shared" si="24"/>
        <v>3.3299999999999996E-2</v>
      </c>
      <c r="Z69" s="85"/>
      <c r="AA69" s="85"/>
      <c r="AB69" s="85"/>
      <c r="AC69" s="85">
        <f t="shared" si="25"/>
        <v>3.3299999999999996E-2</v>
      </c>
      <c r="AD69" s="86">
        <f t="shared" si="26"/>
        <v>49616.999999999993</v>
      </c>
      <c r="AE69" s="140" t="s">
        <v>281</v>
      </c>
    </row>
    <row r="70" spans="1:31" ht="35.25" customHeight="1" x14ac:dyDescent="0.25">
      <c r="A70" s="96">
        <v>19</v>
      </c>
      <c r="B70" s="77" t="s">
        <v>294</v>
      </c>
      <c r="C70" s="79"/>
      <c r="D70" s="148">
        <v>3</v>
      </c>
      <c r="E70" s="80"/>
      <c r="F70" s="80"/>
      <c r="G70" s="80">
        <f>ROUND((D70+E70+F70)*7/100,4)</f>
        <v>0.21</v>
      </c>
      <c r="H70" s="81"/>
      <c r="I70" s="80">
        <f t="shared" si="18"/>
        <v>0.75</v>
      </c>
      <c r="J70" s="80">
        <f t="shared" si="19"/>
        <v>3.96</v>
      </c>
      <c r="K70" s="76">
        <f t="shared" si="20"/>
        <v>5900400</v>
      </c>
      <c r="L70" s="82"/>
      <c r="M70" s="88">
        <v>3</v>
      </c>
      <c r="N70" s="80"/>
      <c r="O70" s="80"/>
      <c r="P70" s="80">
        <f>ROUND((M70+N70+O70)*8/100,4)</f>
        <v>0.24</v>
      </c>
      <c r="Q70" s="81"/>
      <c r="R70" s="80">
        <f t="shared" si="21"/>
        <v>0.75</v>
      </c>
      <c r="S70" s="64">
        <f t="shared" si="22"/>
        <v>3.99</v>
      </c>
      <c r="T70" s="83">
        <f t="shared" si="23"/>
        <v>5945100</v>
      </c>
      <c r="U70" s="60" t="s">
        <v>34</v>
      </c>
      <c r="V70" s="85"/>
      <c r="W70" s="85"/>
      <c r="X70" s="85"/>
      <c r="Y70" s="85">
        <f t="shared" si="24"/>
        <v>0.03</v>
      </c>
      <c r="Z70" s="85"/>
      <c r="AA70" s="85"/>
      <c r="AB70" s="85"/>
      <c r="AC70" s="85">
        <f t="shared" si="25"/>
        <v>0.03</v>
      </c>
      <c r="AD70" s="86">
        <f t="shared" si="26"/>
        <v>44700</v>
      </c>
      <c r="AE70" s="140" t="s">
        <v>268</v>
      </c>
    </row>
    <row r="71" spans="1:31" ht="35.25" customHeight="1" x14ac:dyDescent="0.25">
      <c r="A71" s="96">
        <v>20</v>
      </c>
      <c r="B71" s="77" t="s">
        <v>295</v>
      </c>
      <c r="C71" s="79"/>
      <c r="D71" s="148">
        <v>3</v>
      </c>
      <c r="E71" s="80"/>
      <c r="F71" s="80"/>
      <c r="G71" s="80">
        <f>ROUND((D71+E71+F71)*7/100,4)</f>
        <v>0.21</v>
      </c>
      <c r="H71" s="81"/>
      <c r="I71" s="80">
        <f t="shared" si="18"/>
        <v>0.75</v>
      </c>
      <c r="J71" s="80">
        <f t="shared" si="19"/>
        <v>3.96</v>
      </c>
      <c r="K71" s="76">
        <f t="shared" si="20"/>
        <v>5900400</v>
      </c>
      <c r="L71" s="82"/>
      <c r="M71" s="88">
        <v>3</v>
      </c>
      <c r="N71" s="80"/>
      <c r="O71" s="80"/>
      <c r="P71" s="80">
        <f>ROUND((M71+N71+O71)*8/100,4)</f>
        <v>0.24</v>
      </c>
      <c r="Q71" s="81"/>
      <c r="R71" s="80">
        <f t="shared" si="21"/>
        <v>0.75</v>
      </c>
      <c r="S71" s="64">
        <f t="shared" si="22"/>
        <v>3.99</v>
      </c>
      <c r="T71" s="83">
        <f t="shared" si="23"/>
        <v>5945100</v>
      </c>
      <c r="U71" s="60" t="s">
        <v>34</v>
      </c>
      <c r="V71" s="85"/>
      <c r="W71" s="85"/>
      <c r="X71" s="85"/>
      <c r="Y71" s="85">
        <f t="shared" si="24"/>
        <v>0.03</v>
      </c>
      <c r="Z71" s="85"/>
      <c r="AA71" s="85"/>
      <c r="AB71" s="85"/>
      <c r="AC71" s="85">
        <f t="shared" si="25"/>
        <v>0.03</v>
      </c>
      <c r="AD71" s="86">
        <f t="shared" si="26"/>
        <v>44700</v>
      </c>
      <c r="AE71" s="140" t="s">
        <v>268</v>
      </c>
    </row>
    <row r="72" spans="1:31" s="267" customFormat="1" ht="35.25" customHeight="1" x14ac:dyDescent="0.25">
      <c r="A72" s="260">
        <v>21</v>
      </c>
      <c r="B72" s="275" t="s">
        <v>117</v>
      </c>
      <c r="C72" s="276"/>
      <c r="D72" s="148">
        <v>3.99</v>
      </c>
      <c r="E72" s="277"/>
      <c r="F72" s="277">
        <v>0.45</v>
      </c>
      <c r="G72" s="277">
        <f>ROUND((D72+E72+F72)*12/100,4)</f>
        <v>0.53280000000000005</v>
      </c>
      <c r="H72" s="278"/>
      <c r="I72" s="277">
        <f t="shared" si="18"/>
        <v>1.1100000000000001</v>
      </c>
      <c r="J72" s="277">
        <f t="shared" si="19"/>
        <v>6.0827999999999998</v>
      </c>
      <c r="K72" s="279">
        <f t="shared" si="20"/>
        <v>9063372</v>
      </c>
      <c r="L72" s="280"/>
      <c r="M72" s="281">
        <v>3.99</v>
      </c>
      <c r="N72" s="277"/>
      <c r="O72" s="277">
        <v>0.45</v>
      </c>
      <c r="P72" s="277">
        <f>ROUND((M72+N72+O72)*13/100,4)</f>
        <v>0.57720000000000005</v>
      </c>
      <c r="Q72" s="278"/>
      <c r="R72" s="277">
        <f t="shared" si="21"/>
        <v>1.1100000000000001</v>
      </c>
      <c r="S72" s="64">
        <f t="shared" si="22"/>
        <v>6.1272000000000002</v>
      </c>
      <c r="T72" s="282">
        <f t="shared" si="23"/>
        <v>9129528</v>
      </c>
      <c r="U72" s="60" t="s">
        <v>34</v>
      </c>
      <c r="V72" s="283"/>
      <c r="W72" s="283"/>
      <c r="X72" s="283"/>
      <c r="Y72" s="283">
        <f t="shared" si="24"/>
        <v>4.4399999999999995E-2</v>
      </c>
      <c r="Z72" s="283"/>
      <c r="AA72" s="283"/>
      <c r="AB72" s="283"/>
      <c r="AC72" s="283">
        <f t="shared" si="25"/>
        <v>4.4399999999999995E-2</v>
      </c>
      <c r="AD72" s="284">
        <f t="shared" si="26"/>
        <v>66155.999999999985</v>
      </c>
      <c r="AE72" s="234" t="s">
        <v>278</v>
      </c>
    </row>
    <row r="73" spans="1:31" s="267" customFormat="1" ht="35.25" customHeight="1" x14ac:dyDescent="0.25">
      <c r="A73" s="260">
        <v>22</v>
      </c>
      <c r="B73" s="275" t="s">
        <v>296</v>
      </c>
      <c r="C73" s="276"/>
      <c r="D73" s="148">
        <v>3.66</v>
      </c>
      <c r="E73" s="277"/>
      <c r="F73" s="277">
        <v>0.25</v>
      </c>
      <c r="G73" s="277">
        <f>ROUND((D73+E73+F73)*11/100,4)</f>
        <v>0.43009999999999998</v>
      </c>
      <c r="H73" s="278"/>
      <c r="I73" s="277">
        <f t="shared" si="18"/>
        <v>0.97750000000000004</v>
      </c>
      <c r="J73" s="277">
        <f t="shared" si="19"/>
        <v>5.3175999999999997</v>
      </c>
      <c r="K73" s="279">
        <f t="shared" si="20"/>
        <v>7923224</v>
      </c>
      <c r="L73" s="280"/>
      <c r="M73" s="281">
        <v>3.66</v>
      </c>
      <c r="N73" s="277"/>
      <c r="O73" s="277">
        <v>0.25</v>
      </c>
      <c r="P73" s="277">
        <f>ROUND((M73+N73+O73)*12/100,4)</f>
        <v>0.46920000000000001</v>
      </c>
      <c r="Q73" s="278"/>
      <c r="R73" s="277">
        <f t="shared" si="21"/>
        <v>0.97750000000000004</v>
      </c>
      <c r="S73" s="64">
        <f t="shared" si="22"/>
        <v>5.3567</v>
      </c>
      <c r="T73" s="282">
        <f t="shared" si="23"/>
        <v>7981483</v>
      </c>
      <c r="U73" s="60" t="s">
        <v>34</v>
      </c>
      <c r="V73" s="283"/>
      <c r="W73" s="283"/>
      <c r="X73" s="283"/>
      <c r="Y73" s="283">
        <f t="shared" si="24"/>
        <v>3.9100000000000024E-2</v>
      </c>
      <c r="Z73" s="283"/>
      <c r="AA73" s="283"/>
      <c r="AB73" s="283"/>
      <c r="AC73" s="283">
        <f t="shared" si="25"/>
        <v>3.9100000000000024E-2</v>
      </c>
      <c r="AD73" s="284">
        <f t="shared" si="26"/>
        <v>58259.000000000036</v>
      </c>
      <c r="AE73" s="234" t="s">
        <v>276</v>
      </c>
    </row>
    <row r="74" spans="1:31" ht="35.25" customHeight="1" x14ac:dyDescent="0.25">
      <c r="A74" s="96">
        <v>23</v>
      </c>
      <c r="B74" s="77" t="s">
        <v>100</v>
      </c>
      <c r="C74" s="79"/>
      <c r="D74" s="148">
        <v>3.66</v>
      </c>
      <c r="E74" s="80"/>
      <c r="F74" s="80"/>
      <c r="G74" s="80">
        <f t="shared" si="27"/>
        <v>0.36599999999999999</v>
      </c>
      <c r="H74" s="81"/>
      <c r="I74" s="80">
        <f t="shared" si="18"/>
        <v>0.91500000000000004</v>
      </c>
      <c r="J74" s="80">
        <f t="shared" si="19"/>
        <v>4.9409999999999998</v>
      </c>
      <c r="K74" s="76">
        <f t="shared" si="20"/>
        <v>7362090</v>
      </c>
      <c r="L74" s="82"/>
      <c r="M74" s="88">
        <v>3.66</v>
      </c>
      <c r="N74" s="80"/>
      <c r="O74" s="80"/>
      <c r="P74" s="80">
        <f t="shared" si="28"/>
        <v>0.40260000000000001</v>
      </c>
      <c r="Q74" s="81"/>
      <c r="R74" s="80">
        <f t="shared" si="21"/>
        <v>0.91500000000000004</v>
      </c>
      <c r="S74" s="64">
        <f t="shared" si="22"/>
        <v>4.9775999999999998</v>
      </c>
      <c r="T74" s="83">
        <f t="shared" si="23"/>
        <v>7416624</v>
      </c>
      <c r="U74" s="60" t="s">
        <v>34</v>
      </c>
      <c r="V74" s="85"/>
      <c r="W74" s="85"/>
      <c r="X74" s="85"/>
      <c r="Y74" s="85">
        <f t="shared" si="24"/>
        <v>3.6600000000000021E-2</v>
      </c>
      <c r="Z74" s="85"/>
      <c r="AA74" s="85"/>
      <c r="AB74" s="85"/>
      <c r="AC74" s="85">
        <f t="shared" si="25"/>
        <v>3.6600000000000021E-2</v>
      </c>
      <c r="AD74" s="86">
        <f t="shared" si="26"/>
        <v>54534.000000000029</v>
      </c>
      <c r="AE74" s="140" t="s">
        <v>249</v>
      </c>
    </row>
    <row r="75" spans="1:31" ht="35.25" customHeight="1" x14ac:dyDescent="0.25">
      <c r="A75" s="96">
        <v>24</v>
      </c>
      <c r="B75" s="77" t="s">
        <v>224</v>
      </c>
      <c r="C75" s="79"/>
      <c r="D75" s="148">
        <v>3.33</v>
      </c>
      <c r="E75" s="80"/>
      <c r="F75" s="80"/>
      <c r="G75" s="80">
        <f>ROUND((D75+E75+F75)*8/100,4)</f>
        <v>0.26640000000000003</v>
      </c>
      <c r="H75" s="81"/>
      <c r="I75" s="80">
        <f t="shared" si="18"/>
        <v>0.83250000000000002</v>
      </c>
      <c r="J75" s="80">
        <f t="shared" si="19"/>
        <v>4.4288999999999996</v>
      </c>
      <c r="K75" s="76">
        <f t="shared" si="20"/>
        <v>6599061</v>
      </c>
      <c r="L75" s="82"/>
      <c r="M75" s="88">
        <v>3.33</v>
      </c>
      <c r="N75" s="80"/>
      <c r="O75" s="80"/>
      <c r="P75" s="80">
        <f>ROUND((M75+N75+O75)*9/100,4)</f>
        <v>0.29970000000000002</v>
      </c>
      <c r="Q75" s="81"/>
      <c r="R75" s="80">
        <f t="shared" si="21"/>
        <v>0.83250000000000002</v>
      </c>
      <c r="S75" s="64">
        <f t="shared" si="22"/>
        <v>4.4622000000000002</v>
      </c>
      <c r="T75" s="83">
        <f t="shared" si="23"/>
        <v>6648678</v>
      </c>
      <c r="U75" s="60" t="s">
        <v>34</v>
      </c>
      <c r="V75" s="85"/>
      <c r="W75" s="85"/>
      <c r="X75" s="85"/>
      <c r="Y75" s="85">
        <f t="shared" si="24"/>
        <v>3.3299999999999996E-2</v>
      </c>
      <c r="Z75" s="85"/>
      <c r="AA75" s="85"/>
      <c r="AB75" s="85"/>
      <c r="AC75" s="85">
        <f t="shared" si="25"/>
        <v>3.3299999999999996E-2</v>
      </c>
      <c r="AD75" s="86">
        <f t="shared" si="26"/>
        <v>49616.999999999993</v>
      </c>
      <c r="AE75" s="140" t="s">
        <v>284</v>
      </c>
    </row>
    <row r="76" spans="1:31" ht="35.25" customHeight="1" x14ac:dyDescent="0.25">
      <c r="A76" s="96">
        <v>25</v>
      </c>
      <c r="B76" s="77" t="s">
        <v>297</v>
      </c>
      <c r="C76" s="77"/>
      <c r="D76" s="148">
        <v>3.33</v>
      </c>
      <c r="E76" s="80"/>
      <c r="F76" s="80"/>
      <c r="G76" s="80">
        <f>ROUND((D76+E76+F76)*9/100,4)</f>
        <v>0.29970000000000002</v>
      </c>
      <c r="H76" s="80"/>
      <c r="I76" s="80">
        <f t="shared" si="18"/>
        <v>0.83250000000000002</v>
      </c>
      <c r="J76" s="80">
        <f t="shared" si="19"/>
        <v>4.4622000000000002</v>
      </c>
      <c r="K76" s="76">
        <f t="shared" si="20"/>
        <v>6648678</v>
      </c>
      <c r="L76" s="80"/>
      <c r="M76" s="88">
        <v>3.33</v>
      </c>
      <c r="N76" s="80"/>
      <c r="O76" s="80"/>
      <c r="P76" s="80">
        <f>ROUND((M76+N76+O76)*10/100,4)</f>
        <v>0.33300000000000002</v>
      </c>
      <c r="Q76" s="80"/>
      <c r="R76" s="80">
        <f t="shared" si="21"/>
        <v>0.83250000000000002</v>
      </c>
      <c r="S76" s="64">
        <f t="shared" si="22"/>
        <v>4.4954999999999998</v>
      </c>
      <c r="T76" s="83">
        <f t="shared" si="23"/>
        <v>6698295</v>
      </c>
      <c r="U76" s="60" t="s">
        <v>34</v>
      </c>
      <c r="V76" s="186"/>
      <c r="W76" s="186"/>
      <c r="X76" s="186"/>
      <c r="Y76" s="85">
        <f t="shared" si="24"/>
        <v>3.3299999999999996E-2</v>
      </c>
      <c r="Z76" s="186"/>
      <c r="AA76" s="186"/>
      <c r="AB76" s="186"/>
      <c r="AC76" s="85">
        <f t="shared" si="25"/>
        <v>3.3299999999999996E-2</v>
      </c>
      <c r="AD76" s="86">
        <f t="shared" si="26"/>
        <v>49616.999999999993</v>
      </c>
      <c r="AE76" s="140" t="s">
        <v>281</v>
      </c>
    </row>
    <row r="77" spans="1:31" ht="35.25" customHeight="1" x14ac:dyDescent="0.25">
      <c r="A77" s="96">
        <v>26</v>
      </c>
      <c r="B77" s="77" t="s">
        <v>298</v>
      </c>
      <c r="C77" s="77"/>
      <c r="D77" s="148">
        <v>3.33</v>
      </c>
      <c r="E77" s="80"/>
      <c r="F77" s="80"/>
      <c r="G77" s="80">
        <f>ROUND((D77+E77+F77)*8/100,4)</f>
        <v>0.26640000000000003</v>
      </c>
      <c r="H77" s="80"/>
      <c r="I77" s="80">
        <f t="shared" si="18"/>
        <v>0.83250000000000002</v>
      </c>
      <c r="J77" s="80">
        <f t="shared" si="19"/>
        <v>4.4288999999999996</v>
      </c>
      <c r="K77" s="76">
        <f t="shared" si="20"/>
        <v>6599061</v>
      </c>
      <c r="L77" s="80"/>
      <c r="M77" s="88">
        <v>3.33</v>
      </c>
      <c r="N77" s="80"/>
      <c r="O77" s="80"/>
      <c r="P77" s="80">
        <f>ROUND((M77+N77+O77)*9/100,4)</f>
        <v>0.29970000000000002</v>
      </c>
      <c r="Q77" s="80"/>
      <c r="R77" s="80">
        <f t="shared" si="21"/>
        <v>0.83250000000000002</v>
      </c>
      <c r="S77" s="64">
        <f t="shared" si="22"/>
        <v>4.4622000000000002</v>
      </c>
      <c r="T77" s="83">
        <f t="shared" si="23"/>
        <v>6648678</v>
      </c>
      <c r="U77" s="60" t="s">
        <v>34</v>
      </c>
      <c r="V77" s="186"/>
      <c r="W77" s="186"/>
      <c r="X77" s="186"/>
      <c r="Y77" s="85">
        <f t="shared" si="24"/>
        <v>3.3299999999999996E-2</v>
      </c>
      <c r="Z77" s="186"/>
      <c r="AA77" s="186"/>
      <c r="AB77" s="186"/>
      <c r="AC77" s="85">
        <f t="shared" si="25"/>
        <v>3.3299999999999996E-2</v>
      </c>
      <c r="AD77" s="86">
        <f t="shared" si="26"/>
        <v>49616.999999999993</v>
      </c>
      <c r="AE77" s="140" t="s">
        <v>284</v>
      </c>
    </row>
    <row r="78" spans="1:31" ht="35.25" customHeight="1" x14ac:dyDescent="0.25">
      <c r="A78" s="96">
        <v>27</v>
      </c>
      <c r="B78" s="77" t="s">
        <v>299</v>
      </c>
      <c r="C78" s="77"/>
      <c r="D78" s="148">
        <v>3.33</v>
      </c>
      <c r="E78" s="80"/>
      <c r="F78" s="80"/>
      <c r="G78" s="80">
        <f>ROUND((D78+E78+F78)*8/100,4)</f>
        <v>0.26640000000000003</v>
      </c>
      <c r="H78" s="80"/>
      <c r="I78" s="80">
        <f t="shared" si="18"/>
        <v>0.83250000000000002</v>
      </c>
      <c r="J78" s="80">
        <f t="shared" si="19"/>
        <v>4.4288999999999996</v>
      </c>
      <c r="K78" s="76">
        <f t="shared" si="20"/>
        <v>6599061</v>
      </c>
      <c r="L78" s="80"/>
      <c r="M78" s="88">
        <v>3.33</v>
      </c>
      <c r="N78" s="80"/>
      <c r="O78" s="80"/>
      <c r="P78" s="80">
        <f>ROUND((M78+N78+O78)*9/100,4)</f>
        <v>0.29970000000000002</v>
      </c>
      <c r="Q78" s="80"/>
      <c r="R78" s="80">
        <f t="shared" si="21"/>
        <v>0.83250000000000002</v>
      </c>
      <c r="S78" s="64">
        <f t="shared" si="22"/>
        <v>4.4622000000000002</v>
      </c>
      <c r="T78" s="83">
        <f t="shared" si="23"/>
        <v>6648678</v>
      </c>
      <c r="U78" s="60" t="s">
        <v>34</v>
      </c>
      <c r="V78" s="186"/>
      <c r="W78" s="186"/>
      <c r="X78" s="186"/>
      <c r="Y78" s="85">
        <f t="shared" si="24"/>
        <v>3.3299999999999996E-2</v>
      </c>
      <c r="Z78" s="186"/>
      <c r="AA78" s="186"/>
      <c r="AB78" s="186"/>
      <c r="AC78" s="85">
        <f t="shared" si="25"/>
        <v>3.3299999999999996E-2</v>
      </c>
      <c r="AD78" s="86">
        <f t="shared" si="26"/>
        <v>49616.999999999993</v>
      </c>
      <c r="AE78" s="140" t="s">
        <v>284</v>
      </c>
    </row>
    <row r="79" spans="1:31" s="267" customFormat="1" ht="35.25" customHeight="1" x14ac:dyDescent="0.25">
      <c r="A79" s="260">
        <v>28</v>
      </c>
      <c r="B79" s="275" t="s">
        <v>300</v>
      </c>
      <c r="C79" s="275"/>
      <c r="D79" s="148">
        <v>3.33</v>
      </c>
      <c r="E79" s="277"/>
      <c r="F79" s="277"/>
      <c r="G79" s="277">
        <f>ROUND((D79+E79+F79)*9/100,4)</f>
        <v>0.29970000000000002</v>
      </c>
      <c r="H79" s="277"/>
      <c r="I79" s="277">
        <f t="shared" si="18"/>
        <v>0.83250000000000002</v>
      </c>
      <c r="J79" s="277">
        <f t="shared" si="19"/>
        <v>4.4622000000000002</v>
      </c>
      <c r="K79" s="279">
        <f t="shared" si="20"/>
        <v>6648678</v>
      </c>
      <c r="L79" s="277"/>
      <c r="M79" s="281">
        <v>3.33</v>
      </c>
      <c r="N79" s="277"/>
      <c r="O79" s="277"/>
      <c r="P79" s="277">
        <f>ROUND((M79+N79+O79)*10/100,4)</f>
        <v>0.33300000000000002</v>
      </c>
      <c r="Q79" s="277"/>
      <c r="R79" s="277">
        <f t="shared" si="21"/>
        <v>0.83250000000000002</v>
      </c>
      <c r="S79" s="64">
        <f t="shared" si="22"/>
        <v>4.4954999999999998</v>
      </c>
      <c r="T79" s="282">
        <f t="shared" si="23"/>
        <v>6698295</v>
      </c>
      <c r="U79" s="60" t="s">
        <v>34</v>
      </c>
      <c r="V79" s="285"/>
      <c r="W79" s="285"/>
      <c r="X79" s="285"/>
      <c r="Y79" s="283">
        <f t="shared" si="24"/>
        <v>3.3299999999999996E-2</v>
      </c>
      <c r="Z79" s="285"/>
      <c r="AA79" s="285"/>
      <c r="AB79" s="285"/>
      <c r="AC79" s="283">
        <f t="shared" si="25"/>
        <v>3.3299999999999996E-2</v>
      </c>
      <c r="AD79" s="284">
        <f t="shared" si="26"/>
        <v>49616.999999999993</v>
      </c>
      <c r="AE79" s="234" t="s">
        <v>281</v>
      </c>
    </row>
    <row r="80" spans="1:31" ht="35.25" customHeight="1" x14ac:dyDescent="0.25">
      <c r="A80" s="96">
        <v>29</v>
      </c>
      <c r="B80" s="77" t="s">
        <v>310</v>
      </c>
      <c r="C80" s="77"/>
      <c r="D80" s="148">
        <v>3.66</v>
      </c>
      <c r="E80" s="80"/>
      <c r="F80" s="80">
        <v>0.25</v>
      </c>
      <c r="G80" s="80">
        <f>ROUND((D80+E80+F80)*21/100,4)</f>
        <v>0.82110000000000005</v>
      </c>
      <c r="H80" s="80"/>
      <c r="I80" s="80">
        <f t="shared" si="18"/>
        <v>0.97750000000000004</v>
      </c>
      <c r="J80" s="80">
        <f t="shared" si="19"/>
        <v>5.7085999999999997</v>
      </c>
      <c r="K80" s="76">
        <f t="shared" si="20"/>
        <v>8505814</v>
      </c>
      <c r="L80" s="80"/>
      <c r="M80" s="88">
        <v>3.66</v>
      </c>
      <c r="N80" s="80"/>
      <c r="O80" s="80">
        <v>0.25</v>
      </c>
      <c r="P80" s="80">
        <f>ROUND((M80+N80+O80)*22/100,4)</f>
        <v>0.86019999999999996</v>
      </c>
      <c r="Q80" s="80"/>
      <c r="R80" s="80">
        <f t="shared" si="21"/>
        <v>0.97750000000000004</v>
      </c>
      <c r="S80" s="64">
        <f t="shared" si="22"/>
        <v>5.7477</v>
      </c>
      <c r="T80" s="83">
        <f t="shared" si="23"/>
        <v>8564073</v>
      </c>
      <c r="U80" s="60" t="s">
        <v>34</v>
      </c>
      <c r="V80" s="186"/>
      <c r="W80" s="186"/>
      <c r="X80" s="186"/>
      <c r="Y80" s="85">
        <f t="shared" si="24"/>
        <v>3.9099999999999913E-2</v>
      </c>
      <c r="Z80" s="186"/>
      <c r="AA80" s="186"/>
      <c r="AB80" s="186"/>
      <c r="AC80" s="85">
        <f t="shared" si="25"/>
        <v>3.9099999999999913E-2</v>
      </c>
      <c r="AD80" s="86">
        <f t="shared" si="26"/>
        <v>58258.999999999869</v>
      </c>
      <c r="AE80" s="140" t="s">
        <v>311</v>
      </c>
    </row>
    <row r="81" spans="1:31" ht="35.25" customHeight="1" x14ac:dyDescent="0.25">
      <c r="A81" s="96">
        <v>30</v>
      </c>
      <c r="B81" s="77" t="s">
        <v>312</v>
      </c>
      <c r="C81" s="77"/>
      <c r="D81" s="148">
        <v>3.66</v>
      </c>
      <c r="E81" s="80"/>
      <c r="F81" s="80"/>
      <c r="G81" s="80">
        <f>ROUND((D81+E81+F81)*12/100,4)</f>
        <v>0.43919999999999998</v>
      </c>
      <c r="H81" s="80"/>
      <c r="I81" s="80">
        <f t="shared" si="18"/>
        <v>0.91500000000000004</v>
      </c>
      <c r="J81" s="80">
        <f t="shared" si="19"/>
        <v>5.0141999999999998</v>
      </c>
      <c r="K81" s="76">
        <f t="shared" si="20"/>
        <v>7471158</v>
      </c>
      <c r="L81" s="80"/>
      <c r="M81" s="88">
        <v>3.66</v>
      </c>
      <c r="N81" s="80"/>
      <c r="O81" s="80"/>
      <c r="P81" s="80">
        <f>ROUND((M81+N81+O81)*13/100,4)</f>
        <v>0.4758</v>
      </c>
      <c r="Q81" s="80"/>
      <c r="R81" s="80">
        <f t="shared" si="21"/>
        <v>0.91500000000000004</v>
      </c>
      <c r="S81" s="64">
        <f t="shared" si="22"/>
        <v>5.0507999999999997</v>
      </c>
      <c r="T81" s="83">
        <f t="shared" si="23"/>
        <v>7525692</v>
      </c>
      <c r="U81" s="60" t="s">
        <v>34</v>
      </c>
      <c r="V81" s="186"/>
      <c r="W81" s="186"/>
      <c r="X81" s="186"/>
      <c r="Y81" s="85">
        <f t="shared" si="24"/>
        <v>3.6600000000000021E-2</v>
      </c>
      <c r="Z81" s="186"/>
      <c r="AA81" s="186"/>
      <c r="AB81" s="186"/>
      <c r="AC81" s="85">
        <f t="shared" si="25"/>
        <v>3.6600000000000021E-2</v>
      </c>
      <c r="AD81" s="86">
        <f t="shared" si="26"/>
        <v>54534.000000000029</v>
      </c>
      <c r="AE81" s="140" t="s">
        <v>278</v>
      </c>
    </row>
    <row r="82" spans="1:31" ht="35.25" customHeight="1" x14ac:dyDescent="0.25">
      <c r="A82" s="96">
        <v>31</v>
      </c>
      <c r="B82" s="77" t="s">
        <v>313</v>
      </c>
      <c r="C82" s="77"/>
      <c r="D82" s="148">
        <v>3.66</v>
      </c>
      <c r="E82" s="80"/>
      <c r="F82" s="80"/>
      <c r="G82" s="80">
        <f>ROUND((D82+E82+F82)*8/100,4)</f>
        <v>0.2928</v>
      </c>
      <c r="H82" s="80"/>
      <c r="I82" s="80">
        <f t="shared" si="18"/>
        <v>0.91500000000000004</v>
      </c>
      <c r="J82" s="80">
        <f t="shared" si="19"/>
        <v>4.8677999999999999</v>
      </c>
      <c r="K82" s="76">
        <f t="shared" si="20"/>
        <v>7253022</v>
      </c>
      <c r="L82" s="80"/>
      <c r="M82" s="88">
        <v>3.66</v>
      </c>
      <c r="N82" s="80"/>
      <c r="O82" s="80"/>
      <c r="P82" s="80">
        <f>ROUND((M82+N82+O82)*9/100,4)</f>
        <v>0.32940000000000003</v>
      </c>
      <c r="Q82" s="80"/>
      <c r="R82" s="80">
        <f t="shared" si="21"/>
        <v>0.91500000000000004</v>
      </c>
      <c r="S82" s="64">
        <f t="shared" si="22"/>
        <v>4.9043999999999999</v>
      </c>
      <c r="T82" s="83">
        <f t="shared" si="23"/>
        <v>7307556</v>
      </c>
      <c r="U82" s="60" t="s">
        <v>34</v>
      </c>
      <c r="V82" s="186"/>
      <c r="W82" s="186"/>
      <c r="X82" s="186"/>
      <c r="Y82" s="85">
        <f t="shared" si="24"/>
        <v>3.6600000000000021E-2</v>
      </c>
      <c r="Z82" s="186"/>
      <c r="AA82" s="186"/>
      <c r="AB82" s="186"/>
      <c r="AC82" s="85">
        <f t="shared" si="25"/>
        <v>3.6600000000000021E-2</v>
      </c>
      <c r="AD82" s="86">
        <f t="shared" si="26"/>
        <v>54534.000000000029</v>
      </c>
      <c r="AE82" s="140" t="s">
        <v>284</v>
      </c>
    </row>
    <row r="83" spans="1:31" ht="35.25" customHeight="1" x14ac:dyDescent="0.25">
      <c r="A83" s="96">
        <v>32</v>
      </c>
      <c r="B83" s="77" t="s">
        <v>314</v>
      </c>
      <c r="C83" s="77"/>
      <c r="D83" s="148">
        <v>3.33</v>
      </c>
      <c r="E83" s="80"/>
      <c r="F83" s="80"/>
      <c r="G83" s="80">
        <f t="shared" si="27"/>
        <v>0.33300000000000002</v>
      </c>
      <c r="H83" s="80"/>
      <c r="I83" s="80">
        <f t="shared" si="18"/>
        <v>0.83250000000000002</v>
      </c>
      <c r="J83" s="80">
        <f t="shared" si="19"/>
        <v>4.4954999999999998</v>
      </c>
      <c r="K83" s="76">
        <f t="shared" si="20"/>
        <v>6698295</v>
      </c>
      <c r="L83" s="80"/>
      <c r="M83" s="88">
        <v>3.33</v>
      </c>
      <c r="N83" s="80"/>
      <c r="O83" s="80"/>
      <c r="P83" s="80">
        <f t="shared" si="28"/>
        <v>0.36630000000000001</v>
      </c>
      <c r="Q83" s="80"/>
      <c r="R83" s="80">
        <f t="shared" si="21"/>
        <v>0.83250000000000002</v>
      </c>
      <c r="S83" s="64">
        <f t="shared" si="22"/>
        <v>4.5288000000000004</v>
      </c>
      <c r="T83" s="83">
        <f t="shared" si="23"/>
        <v>6747912</v>
      </c>
      <c r="U83" s="60" t="s">
        <v>34</v>
      </c>
      <c r="V83" s="186"/>
      <c r="W83" s="186"/>
      <c r="X83" s="186"/>
      <c r="Y83" s="85">
        <f t="shared" si="24"/>
        <v>3.3299999999999996E-2</v>
      </c>
      <c r="Z83" s="186"/>
      <c r="AA83" s="186"/>
      <c r="AB83" s="186"/>
      <c r="AC83" s="85">
        <f t="shared" si="25"/>
        <v>3.3299999999999996E-2</v>
      </c>
      <c r="AD83" s="86">
        <f t="shared" si="26"/>
        <v>49616.999999999993</v>
      </c>
      <c r="AE83" s="140" t="s">
        <v>249</v>
      </c>
    </row>
    <row r="84" spans="1:31" ht="35.25" customHeight="1" x14ac:dyDescent="0.25">
      <c r="A84" s="96">
        <v>33</v>
      </c>
      <c r="B84" s="77" t="s">
        <v>315</v>
      </c>
      <c r="C84" s="77"/>
      <c r="D84" s="148">
        <v>3.33</v>
      </c>
      <c r="E84" s="80"/>
      <c r="F84" s="80"/>
      <c r="G84" s="80">
        <f>ROUND((D84+E84+F84)*9/100,4)</f>
        <v>0.29970000000000002</v>
      </c>
      <c r="H84" s="80"/>
      <c r="I84" s="80">
        <f t="shared" si="18"/>
        <v>0.83250000000000002</v>
      </c>
      <c r="J84" s="80">
        <f t="shared" si="19"/>
        <v>4.4622000000000002</v>
      </c>
      <c r="K84" s="76">
        <f t="shared" si="20"/>
        <v>6648678</v>
      </c>
      <c r="L84" s="80"/>
      <c r="M84" s="88">
        <v>3.33</v>
      </c>
      <c r="N84" s="80"/>
      <c r="O84" s="80"/>
      <c r="P84" s="80">
        <f>ROUND((M84+N84+O84)*10/100,4)</f>
        <v>0.33300000000000002</v>
      </c>
      <c r="Q84" s="80"/>
      <c r="R84" s="80">
        <f t="shared" si="21"/>
        <v>0.83250000000000002</v>
      </c>
      <c r="S84" s="64">
        <f t="shared" si="22"/>
        <v>4.4954999999999998</v>
      </c>
      <c r="T84" s="83">
        <f t="shared" si="23"/>
        <v>6698295</v>
      </c>
      <c r="U84" s="60" t="s">
        <v>34</v>
      </c>
      <c r="V84" s="186"/>
      <c r="W84" s="186"/>
      <c r="X84" s="186"/>
      <c r="Y84" s="85">
        <f t="shared" si="24"/>
        <v>3.3299999999999996E-2</v>
      </c>
      <c r="Z84" s="186"/>
      <c r="AA84" s="186"/>
      <c r="AB84" s="186"/>
      <c r="AC84" s="85">
        <f t="shared" si="25"/>
        <v>3.3299999999999996E-2</v>
      </c>
      <c r="AD84" s="86">
        <f t="shared" si="26"/>
        <v>49616.999999999993</v>
      </c>
      <c r="AE84" s="140" t="s">
        <v>281</v>
      </c>
    </row>
    <row r="85" spans="1:31" ht="35.25" customHeight="1" x14ac:dyDescent="0.25">
      <c r="A85" s="96">
        <v>34</v>
      </c>
      <c r="B85" s="77" t="s">
        <v>50</v>
      </c>
      <c r="C85" s="77"/>
      <c r="D85" s="148">
        <v>3.33</v>
      </c>
      <c r="E85" s="80"/>
      <c r="F85" s="80"/>
      <c r="G85" s="80">
        <f>ROUND((D85+E85+F85)*9/100,4)</f>
        <v>0.29970000000000002</v>
      </c>
      <c r="H85" s="80"/>
      <c r="I85" s="80">
        <f t="shared" si="18"/>
        <v>0.83250000000000002</v>
      </c>
      <c r="J85" s="80">
        <f t="shared" si="19"/>
        <v>4.4622000000000002</v>
      </c>
      <c r="K85" s="76">
        <f t="shared" si="20"/>
        <v>6648678</v>
      </c>
      <c r="L85" s="80"/>
      <c r="M85" s="88">
        <v>3.33</v>
      </c>
      <c r="N85" s="80"/>
      <c r="O85" s="80"/>
      <c r="P85" s="80">
        <f>ROUND((M85+N85+O85)*10/100,4)</f>
        <v>0.33300000000000002</v>
      </c>
      <c r="Q85" s="80"/>
      <c r="R85" s="80">
        <f t="shared" si="21"/>
        <v>0.83250000000000002</v>
      </c>
      <c r="S85" s="64">
        <f t="shared" si="22"/>
        <v>4.4954999999999998</v>
      </c>
      <c r="T85" s="83">
        <f t="shared" si="23"/>
        <v>6698295</v>
      </c>
      <c r="U85" s="60" t="s">
        <v>34</v>
      </c>
      <c r="V85" s="186"/>
      <c r="W85" s="186"/>
      <c r="X85" s="186"/>
      <c r="Y85" s="85">
        <f t="shared" si="24"/>
        <v>3.3299999999999996E-2</v>
      </c>
      <c r="Z85" s="186"/>
      <c r="AA85" s="186"/>
      <c r="AB85" s="186"/>
      <c r="AC85" s="85">
        <f t="shared" si="25"/>
        <v>3.3299999999999996E-2</v>
      </c>
      <c r="AD85" s="86">
        <f t="shared" si="26"/>
        <v>49616.999999999993</v>
      </c>
      <c r="AE85" s="140" t="s">
        <v>281</v>
      </c>
    </row>
    <row r="86" spans="1:31" ht="35.25" customHeight="1" x14ac:dyDescent="0.25">
      <c r="A86" s="96">
        <v>35</v>
      </c>
      <c r="B86" s="77" t="s">
        <v>316</v>
      </c>
      <c r="C86" s="77"/>
      <c r="D86" s="148">
        <v>3.33</v>
      </c>
      <c r="E86" s="80"/>
      <c r="F86" s="80"/>
      <c r="G86" s="80">
        <f t="shared" si="27"/>
        <v>0.33300000000000002</v>
      </c>
      <c r="H86" s="80"/>
      <c r="I86" s="80">
        <f t="shared" si="18"/>
        <v>0.83250000000000002</v>
      </c>
      <c r="J86" s="80">
        <f t="shared" si="19"/>
        <v>4.4954999999999998</v>
      </c>
      <c r="K86" s="76">
        <f t="shared" si="20"/>
        <v>6698295</v>
      </c>
      <c r="L86" s="80"/>
      <c r="M86" s="88">
        <v>3.33</v>
      </c>
      <c r="N86" s="80"/>
      <c r="O86" s="80"/>
      <c r="P86" s="80">
        <f t="shared" si="28"/>
        <v>0.36630000000000001</v>
      </c>
      <c r="Q86" s="80"/>
      <c r="R86" s="80">
        <f t="shared" si="21"/>
        <v>0.83250000000000002</v>
      </c>
      <c r="S86" s="64">
        <f t="shared" si="22"/>
        <v>4.5288000000000004</v>
      </c>
      <c r="T86" s="83">
        <f t="shared" si="23"/>
        <v>6747912</v>
      </c>
      <c r="U86" s="60" t="s">
        <v>34</v>
      </c>
      <c r="V86" s="186"/>
      <c r="W86" s="186"/>
      <c r="X86" s="186"/>
      <c r="Y86" s="85">
        <f t="shared" si="24"/>
        <v>3.3299999999999996E-2</v>
      </c>
      <c r="Z86" s="186"/>
      <c r="AA86" s="186"/>
      <c r="AB86" s="186"/>
      <c r="AC86" s="85">
        <f t="shared" si="25"/>
        <v>3.3299999999999996E-2</v>
      </c>
      <c r="AD86" s="86">
        <f t="shared" si="26"/>
        <v>49616.999999999993</v>
      </c>
      <c r="AE86" s="140" t="s">
        <v>249</v>
      </c>
    </row>
    <row r="87" spans="1:31" ht="35.25" customHeight="1" x14ac:dyDescent="0.25">
      <c r="A87" s="96">
        <v>36</v>
      </c>
      <c r="B87" s="77" t="s">
        <v>287</v>
      </c>
      <c r="C87" s="77"/>
      <c r="D87" s="148">
        <v>3</v>
      </c>
      <c r="E87" s="80"/>
      <c r="F87" s="80"/>
      <c r="G87" s="80">
        <f>ROUND((D87+E87+F87)*8/100,4)</f>
        <v>0.24</v>
      </c>
      <c r="H87" s="80"/>
      <c r="I87" s="80">
        <f t="shared" si="18"/>
        <v>0.75</v>
      </c>
      <c r="J87" s="80">
        <f t="shared" si="19"/>
        <v>3.99</v>
      </c>
      <c r="K87" s="76">
        <f t="shared" si="20"/>
        <v>5945100</v>
      </c>
      <c r="L87" s="80"/>
      <c r="M87" s="88">
        <v>3</v>
      </c>
      <c r="N87" s="80"/>
      <c r="O87" s="80"/>
      <c r="P87" s="80">
        <f>ROUND((M87+N87+O87)*9/100,4)</f>
        <v>0.27</v>
      </c>
      <c r="Q87" s="80"/>
      <c r="R87" s="80">
        <f t="shared" si="21"/>
        <v>0.75</v>
      </c>
      <c r="S87" s="64">
        <f t="shared" si="22"/>
        <v>4.0199999999999996</v>
      </c>
      <c r="T87" s="83">
        <f t="shared" si="23"/>
        <v>5989800</v>
      </c>
      <c r="U87" s="60" t="s">
        <v>34</v>
      </c>
      <c r="V87" s="186"/>
      <c r="W87" s="186"/>
      <c r="X87" s="186"/>
      <c r="Y87" s="85">
        <f t="shared" si="24"/>
        <v>3.0000000000000027E-2</v>
      </c>
      <c r="Z87" s="186"/>
      <c r="AA87" s="186"/>
      <c r="AB87" s="186"/>
      <c r="AC87" s="85">
        <f t="shared" si="25"/>
        <v>3.0000000000000027E-2</v>
      </c>
      <c r="AD87" s="86">
        <f t="shared" si="26"/>
        <v>44700.000000000036</v>
      </c>
      <c r="AE87" s="140" t="s">
        <v>284</v>
      </c>
    </row>
    <row r="88" spans="1:31" ht="35.25" customHeight="1" x14ac:dyDescent="0.25">
      <c r="A88" s="96">
        <v>37</v>
      </c>
      <c r="B88" s="77" t="s">
        <v>321</v>
      </c>
      <c r="C88" s="77"/>
      <c r="D88" s="148">
        <v>3.99</v>
      </c>
      <c r="E88" s="80"/>
      <c r="F88" s="80">
        <v>0.45</v>
      </c>
      <c r="G88" s="80">
        <f>ROUND((D88+E88+F88)*13/100,4)</f>
        <v>0.57720000000000005</v>
      </c>
      <c r="H88" s="80"/>
      <c r="I88" s="80">
        <f t="shared" si="18"/>
        <v>1.1100000000000001</v>
      </c>
      <c r="J88" s="80">
        <f t="shared" si="19"/>
        <v>6.1272000000000002</v>
      </c>
      <c r="K88" s="76">
        <f t="shared" si="20"/>
        <v>9129528</v>
      </c>
      <c r="L88" s="80"/>
      <c r="M88" s="88">
        <v>3.99</v>
      </c>
      <c r="N88" s="80"/>
      <c r="O88" s="80">
        <v>0.45</v>
      </c>
      <c r="P88" s="80">
        <f>ROUND((M88+N88+O88)*14/100,4)</f>
        <v>0.62160000000000004</v>
      </c>
      <c r="Q88" s="80"/>
      <c r="R88" s="80">
        <f t="shared" si="21"/>
        <v>1.1100000000000001</v>
      </c>
      <c r="S88" s="64">
        <f t="shared" si="22"/>
        <v>6.1715999999999998</v>
      </c>
      <c r="T88" s="83">
        <f t="shared" si="23"/>
        <v>9195684</v>
      </c>
      <c r="U88" s="60" t="s">
        <v>34</v>
      </c>
      <c r="V88" s="186"/>
      <c r="W88" s="186"/>
      <c r="X88" s="186"/>
      <c r="Y88" s="85">
        <f t="shared" si="24"/>
        <v>4.4399999999999995E-2</v>
      </c>
      <c r="Z88" s="186"/>
      <c r="AA88" s="186"/>
      <c r="AB88" s="186"/>
      <c r="AC88" s="85">
        <f t="shared" si="25"/>
        <v>4.4399999999999995E-2</v>
      </c>
      <c r="AD88" s="86">
        <f t="shared" si="26"/>
        <v>66155.999999999985</v>
      </c>
      <c r="AE88" s="140" t="s">
        <v>322</v>
      </c>
    </row>
    <row r="89" spans="1:31" ht="35.25" customHeight="1" x14ac:dyDescent="0.25">
      <c r="A89" s="96">
        <v>38</v>
      </c>
      <c r="B89" s="77" t="s">
        <v>323</v>
      </c>
      <c r="C89" s="77"/>
      <c r="D89" s="148">
        <v>3.33</v>
      </c>
      <c r="E89" s="80"/>
      <c r="F89" s="80">
        <v>0.35</v>
      </c>
      <c r="G89" s="80">
        <f>ROUND((D89+E89+F89)*9/100,4)</f>
        <v>0.33119999999999999</v>
      </c>
      <c r="H89" s="80"/>
      <c r="I89" s="80">
        <f t="shared" si="18"/>
        <v>0.92</v>
      </c>
      <c r="J89" s="80">
        <f t="shared" si="19"/>
        <v>4.9311999999999996</v>
      </c>
      <c r="K89" s="76">
        <f t="shared" si="20"/>
        <v>7347488</v>
      </c>
      <c r="L89" s="80"/>
      <c r="M89" s="88">
        <v>3.33</v>
      </c>
      <c r="N89" s="80"/>
      <c r="O89" s="80">
        <v>0.35</v>
      </c>
      <c r="P89" s="80">
        <f>ROUND((M89+N89+O89)*10/100,4)</f>
        <v>0.36799999999999999</v>
      </c>
      <c r="Q89" s="80"/>
      <c r="R89" s="80">
        <f t="shared" si="21"/>
        <v>0.92</v>
      </c>
      <c r="S89" s="64">
        <f t="shared" si="22"/>
        <v>4.968</v>
      </c>
      <c r="T89" s="83">
        <f t="shared" si="23"/>
        <v>7402320</v>
      </c>
      <c r="U89" s="60" t="s">
        <v>34</v>
      </c>
      <c r="V89" s="186"/>
      <c r="W89" s="186"/>
      <c r="X89" s="186"/>
      <c r="Y89" s="85">
        <f t="shared" si="24"/>
        <v>3.6799999999999999E-2</v>
      </c>
      <c r="Z89" s="186"/>
      <c r="AA89" s="186"/>
      <c r="AB89" s="186"/>
      <c r="AC89" s="85">
        <f t="shared" si="25"/>
        <v>3.6799999999999999E-2</v>
      </c>
      <c r="AD89" s="86">
        <f t="shared" si="26"/>
        <v>54832</v>
      </c>
      <c r="AE89" s="140" t="s">
        <v>281</v>
      </c>
    </row>
    <row r="90" spans="1:31" ht="35.25" customHeight="1" x14ac:dyDescent="0.25">
      <c r="A90" s="96">
        <v>39</v>
      </c>
      <c r="B90" s="77" t="s">
        <v>324</v>
      </c>
      <c r="C90" s="77"/>
      <c r="D90" s="148">
        <v>3.99</v>
      </c>
      <c r="E90" s="80"/>
      <c r="F90" s="80">
        <v>0.25</v>
      </c>
      <c r="G90" s="80">
        <f>ROUND((D90+E90+F90)*13/100,4)</f>
        <v>0.55120000000000002</v>
      </c>
      <c r="H90" s="80"/>
      <c r="I90" s="80">
        <f t="shared" si="18"/>
        <v>1.06</v>
      </c>
      <c r="J90" s="80">
        <f t="shared" si="19"/>
        <v>5.8512000000000004</v>
      </c>
      <c r="K90" s="76">
        <f t="shared" si="20"/>
        <v>8718288</v>
      </c>
      <c r="L90" s="80"/>
      <c r="M90" s="88">
        <v>3.99</v>
      </c>
      <c r="N90" s="80"/>
      <c r="O90" s="80">
        <v>0.25</v>
      </c>
      <c r="P90" s="80">
        <f>ROUND((M90+N90+O90)*14/100,4)</f>
        <v>0.59360000000000002</v>
      </c>
      <c r="Q90" s="80"/>
      <c r="R90" s="80">
        <f t="shared" si="21"/>
        <v>1.06</v>
      </c>
      <c r="S90" s="64">
        <f t="shared" si="22"/>
        <v>5.8936000000000002</v>
      </c>
      <c r="T90" s="83">
        <f t="shared" si="23"/>
        <v>8781464</v>
      </c>
      <c r="U90" s="60" t="s">
        <v>34</v>
      </c>
      <c r="V90" s="186"/>
      <c r="W90" s="186"/>
      <c r="X90" s="186"/>
      <c r="Y90" s="85">
        <f t="shared" si="24"/>
        <v>4.2399999999999993E-2</v>
      </c>
      <c r="Z90" s="186"/>
      <c r="AA90" s="186"/>
      <c r="AB90" s="186"/>
      <c r="AC90" s="85">
        <f t="shared" si="25"/>
        <v>4.2399999999999993E-2</v>
      </c>
      <c r="AD90" s="86">
        <f t="shared" si="26"/>
        <v>63175.999999999993</v>
      </c>
      <c r="AE90" s="140" t="s">
        <v>322</v>
      </c>
    </row>
    <row r="91" spans="1:31" ht="35.25" customHeight="1" x14ac:dyDescent="0.25">
      <c r="A91" s="96">
        <v>40</v>
      </c>
      <c r="B91" s="77" t="s">
        <v>325</v>
      </c>
      <c r="C91" s="77"/>
      <c r="D91" s="148">
        <v>3</v>
      </c>
      <c r="E91" s="80"/>
      <c r="F91" s="80"/>
      <c r="G91" s="80">
        <f>ROUND((D91+E91+F91)*7/100,4)</f>
        <v>0.21</v>
      </c>
      <c r="H91" s="80"/>
      <c r="I91" s="80">
        <f t="shared" si="18"/>
        <v>0.75</v>
      </c>
      <c r="J91" s="80">
        <f t="shared" si="19"/>
        <v>3.96</v>
      </c>
      <c r="K91" s="76">
        <f t="shared" si="20"/>
        <v>5900400</v>
      </c>
      <c r="L91" s="80"/>
      <c r="M91" s="88">
        <v>3</v>
      </c>
      <c r="N91" s="80"/>
      <c r="O91" s="80"/>
      <c r="P91" s="80">
        <f>ROUND((M91+N91+O91)*8/100,4)</f>
        <v>0.24</v>
      </c>
      <c r="Q91" s="80"/>
      <c r="R91" s="80">
        <f t="shared" si="21"/>
        <v>0.75</v>
      </c>
      <c r="S91" s="64">
        <f t="shared" si="22"/>
        <v>3.99</v>
      </c>
      <c r="T91" s="83">
        <f t="shared" si="23"/>
        <v>5945100</v>
      </c>
      <c r="U91" s="60" t="s">
        <v>34</v>
      </c>
      <c r="V91" s="186"/>
      <c r="W91" s="186"/>
      <c r="X91" s="186"/>
      <c r="Y91" s="85">
        <f t="shared" si="24"/>
        <v>0.03</v>
      </c>
      <c r="Z91" s="186"/>
      <c r="AA91" s="186"/>
      <c r="AB91" s="186"/>
      <c r="AC91" s="85">
        <f t="shared" si="25"/>
        <v>0.03</v>
      </c>
      <c r="AD91" s="86">
        <f t="shared" si="26"/>
        <v>44700</v>
      </c>
      <c r="AE91" s="140" t="s">
        <v>268</v>
      </c>
    </row>
    <row r="92" spans="1:31" ht="35.25" customHeight="1" x14ac:dyDescent="0.25">
      <c r="A92" s="96">
        <v>41</v>
      </c>
      <c r="B92" s="77" t="s">
        <v>326</v>
      </c>
      <c r="C92" s="77"/>
      <c r="D92" s="148">
        <v>3.66</v>
      </c>
      <c r="E92" s="80"/>
      <c r="F92" s="80"/>
      <c r="G92" s="80">
        <f>ROUND((D92+E92+F92)*13/100,4)</f>
        <v>0.4758</v>
      </c>
      <c r="H92" s="80"/>
      <c r="I92" s="80">
        <f t="shared" si="18"/>
        <v>0.91500000000000004</v>
      </c>
      <c r="J92" s="80">
        <f t="shared" si="19"/>
        <v>5.0507999999999997</v>
      </c>
      <c r="K92" s="76">
        <f t="shared" si="20"/>
        <v>7525692</v>
      </c>
      <c r="L92" s="80"/>
      <c r="M92" s="88">
        <v>3.66</v>
      </c>
      <c r="N92" s="80"/>
      <c r="O92" s="80"/>
      <c r="P92" s="80">
        <f>ROUND((M92+N92+O92)*14/100,4)</f>
        <v>0.51239999999999997</v>
      </c>
      <c r="Q92" s="80"/>
      <c r="R92" s="80">
        <f t="shared" si="21"/>
        <v>0.91500000000000004</v>
      </c>
      <c r="S92" s="64">
        <f t="shared" si="22"/>
        <v>5.0873999999999997</v>
      </c>
      <c r="T92" s="83">
        <f t="shared" si="23"/>
        <v>7580226</v>
      </c>
      <c r="U92" s="60" t="s">
        <v>34</v>
      </c>
      <c r="V92" s="186"/>
      <c r="W92" s="186"/>
      <c r="X92" s="186"/>
      <c r="Y92" s="85">
        <f t="shared" si="24"/>
        <v>3.6599999999999966E-2</v>
      </c>
      <c r="Z92" s="186"/>
      <c r="AA92" s="186"/>
      <c r="AB92" s="186"/>
      <c r="AC92" s="85">
        <f t="shared" si="25"/>
        <v>3.6599999999999966E-2</v>
      </c>
      <c r="AD92" s="86">
        <f t="shared" si="26"/>
        <v>54533.999999999949</v>
      </c>
      <c r="AE92" s="140" t="s">
        <v>322</v>
      </c>
    </row>
    <row r="93" spans="1:31" ht="35.25" customHeight="1" x14ac:dyDescent="0.25">
      <c r="A93" s="96">
        <v>42</v>
      </c>
      <c r="B93" s="77" t="s">
        <v>327</v>
      </c>
      <c r="C93" s="77"/>
      <c r="D93" s="148">
        <v>3.33</v>
      </c>
      <c r="E93" s="80"/>
      <c r="F93" s="80"/>
      <c r="G93" s="80">
        <f>ROUND((D93+E93+F93)*10/100,4)</f>
        <v>0.33300000000000002</v>
      </c>
      <c r="H93" s="80"/>
      <c r="I93" s="80">
        <f t="shared" si="18"/>
        <v>0.83250000000000002</v>
      </c>
      <c r="J93" s="80">
        <f t="shared" si="19"/>
        <v>4.4954999999999998</v>
      </c>
      <c r="K93" s="76">
        <f t="shared" si="20"/>
        <v>6698295</v>
      </c>
      <c r="L93" s="80"/>
      <c r="M93" s="88">
        <v>3.33</v>
      </c>
      <c r="N93" s="80"/>
      <c r="O93" s="80"/>
      <c r="P93" s="80">
        <f>ROUND((M93+N93+O93)*11/100,4)</f>
        <v>0.36630000000000001</v>
      </c>
      <c r="Q93" s="80"/>
      <c r="R93" s="80">
        <f t="shared" si="21"/>
        <v>0.83250000000000002</v>
      </c>
      <c r="S93" s="64">
        <f t="shared" si="22"/>
        <v>4.5288000000000004</v>
      </c>
      <c r="T93" s="83">
        <f t="shared" si="23"/>
        <v>6747912</v>
      </c>
      <c r="U93" s="60" t="s">
        <v>34</v>
      </c>
      <c r="V93" s="186"/>
      <c r="W93" s="186"/>
      <c r="X93" s="186"/>
      <c r="Y93" s="85">
        <f t="shared" si="24"/>
        <v>3.3299999999999996E-2</v>
      </c>
      <c r="Z93" s="186"/>
      <c r="AA93" s="186"/>
      <c r="AB93" s="186"/>
      <c r="AC93" s="85">
        <f t="shared" si="25"/>
        <v>3.3299999999999996E-2</v>
      </c>
      <c r="AD93" s="86">
        <f t="shared" si="26"/>
        <v>49616.999999999993</v>
      </c>
      <c r="AE93" s="140" t="s">
        <v>249</v>
      </c>
    </row>
    <row r="94" spans="1:31" ht="35.25" customHeight="1" x14ac:dyDescent="0.25">
      <c r="A94" s="96">
        <v>43</v>
      </c>
      <c r="B94" s="77" t="s">
        <v>328</v>
      </c>
      <c r="C94" s="77"/>
      <c r="D94" s="148">
        <v>3.33</v>
      </c>
      <c r="E94" s="80"/>
      <c r="F94" s="80"/>
      <c r="G94" s="80">
        <f>ROUND((D94+E94+F94)*9/100,4)</f>
        <v>0.29970000000000002</v>
      </c>
      <c r="H94" s="80"/>
      <c r="I94" s="80">
        <f t="shared" si="18"/>
        <v>0.83250000000000002</v>
      </c>
      <c r="J94" s="80">
        <f t="shared" si="19"/>
        <v>4.4622000000000002</v>
      </c>
      <c r="K94" s="76">
        <f t="shared" si="20"/>
        <v>6648678</v>
      </c>
      <c r="L94" s="80"/>
      <c r="M94" s="88">
        <v>3.33</v>
      </c>
      <c r="N94" s="80"/>
      <c r="O94" s="80"/>
      <c r="P94" s="80">
        <f>ROUND((M94+N94+O94)*10/100,4)</f>
        <v>0.33300000000000002</v>
      </c>
      <c r="Q94" s="80"/>
      <c r="R94" s="80">
        <f t="shared" si="21"/>
        <v>0.83250000000000002</v>
      </c>
      <c r="S94" s="64">
        <f t="shared" si="22"/>
        <v>4.4954999999999998</v>
      </c>
      <c r="T94" s="83">
        <f t="shared" si="23"/>
        <v>6698295</v>
      </c>
      <c r="U94" s="60" t="s">
        <v>34</v>
      </c>
      <c r="V94" s="186"/>
      <c r="W94" s="186"/>
      <c r="X94" s="186"/>
      <c r="Y94" s="85">
        <f t="shared" si="24"/>
        <v>3.3299999999999996E-2</v>
      </c>
      <c r="Z94" s="186"/>
      <c r="AA94" s="186"/>
      <c r="AB94" s="186"/>
      <c r="AC94" s="85">
        <f t="shared" si="25"/>
        <v>3.3299999999999996E-2</v>
      </c>
      <c r="AD94" s="86">
        <f t="shared" si="26"/>
        <v>49616.999999999993</v>
      </c>
      <c r="AE94" s="140" t="s">
        <v>281</v>
      </c>
    </row>
    <row r="95" spans="1:31" ht="35.25" customHeight="1" x14ac:dyDescent="0.25">
      <c r="A95" s="96">
        <v>44</v>
      </c>
      <c r="B95" s="77" t="s">
        <v>329</v>
      </c>
      <c r="C95" s="77"/>
      <c r="D95" s="148">
        <v>3</v>
      </c>
      <c r="E95" s="80"/>
      <c r="F95" s="80"/>
      <c r="G95" s="80">
        <f>ROUND((D95+E95+F95)*8/100,4)</f>
        <v>0.24</v>
      </c>
      <c r="H95" s="80"/>
      <c r="I95" s="80">
        <f t="shared" si="18"/>
        <v>0.75</v>
      </c>
      <c r="J95" s="80">
        <f t="shared" si="19"/>
        <v>3.99</v>
      </c>
      <c r="K95" s="76">
        <f t="shared" si="20"/>
        <v>5945100</v>
      </c>
      <c r="L95" s="80"/>
      <c r="M95" s="88">
        <v>3</v>
      </c>
      <c r="N95" s="80"/>
      <c r="O95" s="80"/>
      <c r="P95" s="80">
        <f>ROUND((M95+N95+O95)*9/100,4)</f>
        <v>0.27</v>
      </c>
      <c r="Q95" s="80"/>
      <c r="R95" s="80">
        <f t="shared" si="21"/>
        <v>0.75</v>
      </c>
      <c r="S95" s="64">
        <f t="shared" si="22"/>
        <v>4.0199999999999996</v>
      </c>
      <c r="T95" s="83">
        <f t="shared" si="23"/>
        <v>5989800</v>
      </c>
      <c r="U95" s="60" t="s">
        <v>34</v>
      </c>
      <c r="V95" s="186"/>
      <c r="W95" s="186"/>
      <c r="X95" s="186"/>
      <c r="Y95" s="85">
        <f t="shared" si="24"/>
        <v>3.0000000000000027E-2</v>
      </c>
      <c r="Z95" s="186"/>
      <c r="AA95" s="186"/>
      <c r="AB95" s="186"/>
      <c r="AC95" s="85">
        <f t="shared" si="25"/>
        <v>3.0000000000000027E-2</v>
      </c>
      <c r="AD95" s="86">
        <f t="shared" si="26"/>
        <v>44700.000000000036</v>
      </c>
      <c r="AE95" s="140" t="s">
        <v>284</v>
      </c>
    </row>
    <row r="96" spans="1:31" ht="35.25" customHeight="1" x14ac:dyDescent="0.25">
      <c r="A96" s="96">
        <v>45</v>
      </c>
      <c r="B96" s="77" t="s">
        <v>330</v>
      </c>
      <c r="C96" s="77"/>
      <c r="D96" s="148">
        <v>3</v>
      </c>
      <c r="E96" s="80"/>
      <c r="F96" s="80"/>
      <c r="G96" s="80">
        <f>ROUND((D96+E96+F96)*8/100,4)</f>
        <v>0.24</v>
      </c>
      <c r="H96" s="80"/>
      <c r="I96" s="80">
        <f t="shared" si="18"/>
        <v>0.75</v>
      </c>
      <c r="J96" s="80">
        <f t="shared" si="19"/>
        <v>3.99</v>
      </c>
      <c r="K96" s="76">
        <f t="shared" si="20"/>
        <v>5945100</v>
      </c>
      <c r="L96" s="80"/>
      <c r="M96" s="88">
        <v>3</v>
      </c>
      <c r="N96" s="80"/>
      <c r="O96" s="80"/>
      <c r="P96" s="80">
        <f>ROUND((M96+N96+O96)*9/100,4)</f>
        <v>0.27</v>
      </c>
      <c r="Q96" s="80"/>
      <c r="R96" s="80">
        <f t="shared" si="21"/>
        <v>0.75</v>
      </c>
      <c r="S96" s="64">
        <f t="shared" si="22"/>
        <v>4.0199999999999996</v>
      </c>
      <c r="T96" s="83">
        <f t="shared" si="23"/>
        <v>5989800</v>
      </c>
      <c r="U96" s="60" t="s">
        <v>34</v>
      </c>
      <c r="V96" s="186"/>
      <c r="W96" s="186"/>
      <c r="X96" s="186"/>
      <c r="Y96" s="85">
        <f t="shared" si="24"/>
        <v>3.0000000000000027E-2</v>
      </c>
      <c r="Z96" s="186"/>
      <c r="AA96" s="186"/>
      <c r="AB96" s="186"/>
      <c r="AC96" s="85">
        <f t="shared" si="25"/>
        <v>3.0000000000000027E-2</v>
      </c>
      <c r="AD96" s="86">
        <f t="shared" si="26"/>
        <v>44700.000000000036</v>
      </c>
      <c r="AE96" s="140" t="s">
        <v>284</v>
      </c>
    </row>
    <row r="97" spans="1:31" ht="35.25" customHeight="1" x14ac:dyDescent="0.25">
      <c r="A97" s="96">
        <v>46</v>
      </c>
      <c r="B97" s="77" t="s">
        <v>331</v>
      </c>
      <c r="C97" s="77"/>
      <c r="D97" s="148">
        <v>3</v>
      </c>
      <c r="E97" s="80"/>
      <c r="F97" s="80"/>
      <c r="G97" s="80">
        <f>ROUND((D97+E97+F97)*8/100,4)</f>
        <v>0.24</v>
      </c>
      <c r="H97" s="80"/>
      <c r="I97" s="80">
        <f t="shared" si="18"/>
        <v>0.75</v>
      </c>
      <c r="J97" s="80">
        <f t="shared" si="19"/>
        <v>3.99</v>
      </c>
      <c r="K97" s="76">
        <f t="shared" si="20"/>
        <v>5945100</v>
      </c>
      <c r="L97" s="80"/>
      <c r="M97" s="88">
        <v>3</v>
      </c>
      <c r="N97" s="80"/>
      <c r="O97" s="80"/>
      <c r="P97" s="80">
        <f>ROUND((M97+N97+O97)*9/100,4)</f>
        <v>0.27</v>
      </c>
      <c r="Q97" s="80"/>
      <c r="R97" s="80">
        <f t="shared" si="21"/>
        <v>0.75</v>
      </c>
      <c r="S97" s="64">
        <f t="shared" si="22"/>
        <v>4.0199999999999996</v>
      </c>
      <c r="T97" s="83">
        <f t="shared" si="23"/>
        <v>5989800</v>
      </c>
      <c r="U97" s="60" t="s">
        <v>34</v>
      </c>
      <c r="V97" s="186"/>
      <c r="W97" s="186"/>
      <c r="X97" s="186"/>
      <c r="Y97" s="85">
        <f t="shared" si="24"/>
        <v>3.0000000000000027E-2</v>
      </c>
      <c r="Z97" s="186"/>
      <c r="AA97" s="186"/>
      <c r="AB97" s="186"/>
      <c r="AC97" s="85">
        <f t="shared" si="25"/>
        <v>3.0000000000000027E-2</v>
      </c>
      <c r="AD97" s="86">
        <f t="shared" si="26"/>
        <v>44700.000000000036</v>
      </c>
      <c r="AE97" s="140" t="s">
        <v>284</v>
      </c>
    </row>
    <row r="98" spans="1:31" ht="35.25" customHeight="1" x14ac:dyDescent="0.25">
      <c r="A98" s="96">
        <v>47</v>
      </c>
      <c r="B98" s="77" t="s">
        <v>335</v>
      </c>
      <c r="C98" s="77"/>
      <c r="D98" s="148">
        <v>3.33</v>
      </c>
      <c r="E98" s="80"/>
      <c r="F98" s="80"/>
      <c r="G98" s="80">
        <f>ROUND((D98+E98+F98)*9/100,4)</f>
        <v>0.29970000000000002</v>
      </c>
      <c r="H98" s="80"/>
      <c r="I98" s="80">
        <f t="shared" si="18"/>
        <v>0.83250000000000002</v>
      </c>
      <c r="J98" s="80">
        <f t="shared" si="19"/>
        <v>4.4622000000000002</v>
      </c>
      <c r="K98" s="76">
        <f t="shared" si="20"/>
        <v>6648678</v>
      </c>
      <c r="L98" s="80"/>
      <c r="M98" s="88">
        <v>3.33</v>
      </c>
      <c r="N98" s="80"/>
      <c r="O98" s="80"/>
      <c r="P98" s="80">
        <f>ROUND((M98+N98+O98)*10/100,4)</f>
        <v>0.33300000000000002</v>
      </c>
      <c r="Q98" s="80"/>
      <c r="R98" s="80">
        <f t="shared" si="21"/>
        <v>0.83250000000000002</v>
      </c>
      <c r="S98" s="64">
        <f t="shared" si="22"/>
        <v>4.4954999999999998</v>
      </c>
      <c r="T98" s="83">
        <f t="shared" si="23"/>
        <v>6698295</v>
      </c>
      <c r="U98" s="60" t="s">
        <v>34</v>
      </c>
      <c r="V98" s="186"/>
      <c r="W98" s="186"/>
      <c r="X98" s="186"/>
      <c r="Y98" s="85">
        <f t="shared" si="24"/>
        <v>3.3299999999999996E-2</v>
      </c>
      <c r="Z98" s="186"/>
      <c r="AA98" s="186"/>
      <c r="AB98" s="186"/>
      <c r="AC98" s="85">
        <f t="shared" si="25"/>
        <v>3.3299999999999996E-2</v>
      </c>
      <c r="AD98" s="86">
        <f t="shared" si="26"/>
        <v>49616.999999999993</v>
      </c>
      <c r="AE98" s="140" t="s">
        <v>281</v>
      </c>
    </row>
    <row r="99" spans="1:31" ht="35.25" customHeight="1" x14ac:dyDescent="0.25">
      <c r="A99" s="96">
        <v>48</v>
      </c>
      <c r="B99" s="77" t="s">
        <v>329</v>
      </c>
      <c r="C99" s="77"/>
      <c r="D99" s="148">
        <v>3.33</v>
      </c>
      <c r="E99" s="80"/>
      <c r="F99" s="80">
        <v>0.35</v>
      </c>
      <c r="G99" s="80">
        <f>ROUND((D99+E99+F99)*8/100,4)</f>
        <v>0.2944</v>
      </c>
      <c r="H99" s="80"/>
      <c r="I99" s="80">
        <f t="shared" si="18"/>
        <v>0.92</v>
      </c>
      <c r="J99" s="80">
        <f t="shared" si="19"/>
        <v>4.8944000000000001</v>
      </c>
      <c r="K99" s="76">
        <f t="shared" si="20"/>
        <v>7292656</v>
      </c>
      <c r="L99" s="80"/>
      <c r="M99" s="88">
        <v>3.33</v>
      </c>
      <c r="N99" s="80"/>
      <c r="O99" s="80">
        <v>0.35</v>
      </c>
      <c r="P99" s="80">
        <f>ROUND((M99+N99+O99)*9/100,4)</f>
        <v>0.33119999999999999</v>
      </c>
      <c r="Q99" s="80"/>
      <c r="R99" s="80">
        <f t="shared" si="21"/>
        <v>0.92</v>
      </c>
      <c r="S99" s="64">
        <f t="shared" si="22"/>
        <v>4.9311999999999996</v>
      </c>
      <c r="T99" s="83">
        <f t="shared" si="23"/>
        <v>7347488</v>
      </c>
      <c r="U99" s="60" t="s">
        <v>34</v>
      </c>
      <c r="V99" s="186"/>
      <c r="W99" s="186"/>
      <c r="X99" s="186"/>
      <c r="Y99" s="85">
        <f t="shared" si="24"/>
        <v>3.6799999999999999E-2</v>
      </c>
      <c r="Z99" s="186"/>
      <c r="AA99" s="186"/>
      <c r="AB99" s="186"/>
      <c r="AC99" s="85">
        <f t="shared" si="25"/>
        <v>3.6799999999999999E-2</v>
      </c>
      <c r="AD99" s="86">
        <f t="shared" si="26"/>
        <v>54832</v>
      </c>
      <c r="AE99" s="140" t="s">
        <v>284</v>
      </c>
    </row>
    <row r="100" spans="1:31" ht="35.25" customHeight="1" x14ac:dyDescent="0.25">
      <c r="A100" s="96">
        <v>49</v>
      </c>
      <c r="B100" s="77" t="s">
        <v>336</v>
      </c>
      <c r="C100" s="77"/>
      <c r="D100" s="148">
        <v>3.33</v>
      </c>
      <c r="E100" s="80"/>
      <c r="F100" s="80">
        <v>0.35</v>
      </c>
      <c r="G100" s="80">
        <f>ROUND((D100+E100+F100)*10/100,4)</f>
        <v>0.36799999999999999</v>
      </c>
      <c r="H100" s="80"/>
      <c r="I100" s="80">
        <f t="shared" si="18"/>
        <v>0.92</v>
      </c>
      <c r="J100" s="80">
        <f t="shared" si="19"/>
        <v>4.968</v>
      </c>
      <c r="K100" s="76">
        <f t="shared" si="20"/>
        <v>7402320</v>
      </c>
      <c r="L100" s="80"/>
      <c r="M100" s="88">
        <v>3.33</v>
      </c>
      <c r="N100" s="80"/>
      <c r="O100" s="80">
        <v>0.35</v>
      </c>
      <c r="P100" s="80">
        <f>ROUND((M100+N100+O100)*11/100,4)</f>
        <v>0.40479999999999999</v>
      </c>
      <c r="Q100" s="80"/>
      <c r="R100" s="80">
        <f t="shared" si="21"/>
        <v>0.92</v>
      </c>
      <c r="S100" s="64">
        <f t="shared" si="22"/>
        <v>5.0048000000000004</v>
      </c>
      <c r="T100" s="83">
        <f t="shared" si="23"/>
        <v>7457152</v>
      </c>
      <c r="U100" s="60" t="s">
        <v>34</v>
      </c>
      <c r="V100" s="186"/>
      <c r="W100" s="186"/>
      <c r="X100" s="186"/>
      <c r="Y100" s="85">
        <f t="shared" si="24"/>
        <v>3.6799999999999999E-2</v>
      </c>
      <c r="Z100" s="186"/>
      <c r="AA100" s="186"/>
      <c r="AB100" s="186"/>
      <c r="AC100" s="85">
        <f t="shared" si="25"/>
        <v>3.6799999999999999E-2</v>
      </c>
      <c r="AD100" s="86">
        <f t="shared" si="26"/>
        <v>54832</v>
      </c>
      <c r="AE100" s="140" t="s">
        <v>249</v>
      </c>
    </row>
    <row r="101" spans="1:31" ht="35.25" customHeight="1" x14ac:dyDescent="0.25">
      <c r="A101" s="96">
        <v>50</v>
      </c>
      <c r="B101" s="77" t="s">
        <v>337</v>
      </c>
      <c r="C101" s="77"/>
      <c r="D101" s="148">
        <v>3.33</v>
      </c>
      <c r="E101" s="80"/>
      <c r="F101" s="80">
        <v>0.25</v>
      </c>
      <c r="G101" s="80">
        <f>ROUND((D101+E101+F101)*9/100,4)</f>
        <v>0.32219999999999999</v>
      </c>
      <c r="H101" s="80"/>
      <c r="I101" s="80">
        <f t="shared" si="18"/>
        <v>0.89500000000000002</v>
      </c>
      <c r="J101" s="80">
        <f t="shared" si="19"/>
        <v>4.7972000000000001</v>
      </c>
      <c r="K101" s="76">
        <f t="shared" si="20"/>
        <v>7147828</v>
      </c>
      <c r="L101" s="80"/>
      <c r="M101" s="88">
        <v>3.33</v>
      </c>
      <c r="N101" s="80"/>
      <c r="O101" s="80">
        <v>0.25</v>
      </c>
      <c r="P101" s="80">
        <f>ROUND((M101+N101+O101)*10/100,4)</f>
        <v>0.35799999999999998</v>
      </c>
      <c r="Q101" s="80"/>
      <c r="R101" s="80">
        <f t="shared" si="21"/>
        <v>0.89500000000000002</v>
      </c>
      <c r="S101" s="64">
        <f t="shared" si="22"/>
        <v>4.8330000000000002</v>
      </c>
      <c r="T101" s="83">
        <f t="shared" si="23"/>
        <v>7201170</v>
      </c>
      <c r="U101" s="60" t="s">
        <v>34</v>
      </c>
      <c r="V101" s="186"/>
      <c r="W101" s="186"/>
      <c r="X101" s="186"/>
      <c r="Y101" s="85">
        <f t="shared" si="24"/>
        <v>3.5799999999999998E-2</v>
      </c>
      <c r="Z101" s="186"/>
      <c r="AA101" s="186"/>
      <c r="AB101" s="186"/>
      <c r="AC101" s="85">
        <f t="shared" si="25"/>
        <v>3.5799999999999998E-2</v>
      </c>
      <c r="AD101" s="86">
        <f t="shared" si="26"/>
        <v>53342</v>
      </c>
      <c r="AE101" s="140" t="s">
        <v>281</v>
      </c>
    </row>
    <row r="102" spans="1:31" ht="35.25" customHeight="1" x14ac:dyDescent="0.25">
      <c r="A102" s="96">
        <v>51</v>
      </c>
      <c r="B102" s="77" t="s">
        <v>338</v>
      </c>
      <c r="C102" s="77"/>
      <c r="D102" s="148">
        <v>3.33</v>
      </c>
      <c r="E102" s="80"/>
      <c r="F102" s="80">
        <v>0.25</v>
      </c>
      <c r="G102" s="80">
        <f>ROUND((D102+E102+F102)*9/100,4)</f>
        <v>0.32219999999999999</v>
      </c>
      <c r="H102" s="80"/>
      <c r="I102" s="80">
        <f t="shared" si="18"/>
        <v>0.89500000000000002</v>
      </c>
      <c r="J102" s="80">
        <f t="shared" si="19"/>
        <v>4.7972000000000001</v>
      </c>
      <c r="K102" s="76">
        <f t="shared" si="20"/>
        <v>7147828</v>
      </c>
      <c r="L102" s="80"/>
      <c r="M102" s="88">
        <v>3.33</v>
      </c>
      <c r="N102" s="80"/>
      <c r="O102" s="80">
        <v>0.25</v>
      </c>
      <c r="P102" s="80">
        <f>ROUND((M102+N102+O102)*10/100,4)</f>
        <v>0.35799999999999998</v>
      </c>
      <c r="Q102" s="80"/>
      <c r="R102" s="80">
        <f t="shared" si="21"/>
        <v>0.89500000000000002</v>
      </c>
      <c r="S102" s="64">
        <f t="shared" si="22"/>
        <v>4.8330000000000002</v>
      </c>
      <c r="T102" s="83">
        <f t="shared" si="23"/>
        <v>7201170</v>
      </c>
      <c r="U102" s="60" t="s">
        <v>34</v>
      </c>
      <c r="V102" s="186"/>
      <c r="W102" s="186"/>
      <c r="X102" s="186"/>
      <c r="Y102" s="85">
        <f t="shared" si="24"/>
        <v>3.5799999999999998E-2</v>
      </c>
      <c r="Z102" s="186"/>
      <c r="AA102" s="186"/>
      <c r="AB102" s="186"/>
      <c r="AC102" s="85">
        <f t="shared" si="25"/>
        <v>3.5799999999999998E-2</v>
      </c>
      <c r="AD102" s="86">
        <f t="shared" si="26"/>
        <v>53342</v>
      </c>
      <c r="AE102" s="140" t="s">
        <v>281</v>
      </c>
    </row>
    <row r="103" spans="1:31" ht="35.25" customHeight="1" x14ac:dyDescent="0.25">
      <c r="A103" s="96">
        <v>52</v>
      </c>
      <c r="B103" s="77" t="s">
        <v>339</v>
      </c>
      <c r="C103" s="77"/>
      <c r="D103" s="148">
        <v>3.66</v>
      </c>
      <c r="E103" s="80"/>
      <c r="F103" s="80"/>
      <c r="G103" s="80">
        <f>ROUND((D103+E103+F103)*12/100,4)</f>
        <v>0.43919999999999998</v>
      </c>
      <c r="H103" s="80"/>
      <c r="I103" s="80">
        <f t="shared" si="18"/>
        <v>0.91500000000000004</v>
      </c>
      <c r="J103" s="80">
        <f t="shared" si="19"/>
        <v>5.0141999999999998</v>
      </c>
      <c r="K103" s="76">
        <f t="shared" si="20"/>
        <v>7471158</v>
      </c>
      <c r="L103" s="80"/>
      <c r="M103" s="88">
        <v>3.66</v>
      </c>
      <c r="N103" s="80"/>
      <c r="O103" s="80"/>
      <c r="P103" s="80">
        <f>ROUND((M103+N103+O103)*13/100,4)</f>
        <v>0.4758</v>
      </c>
      <c r="Q103" s="80"/>
      <c r="R103" s="80">
        <f t="shared" si="21"/>
        <v>0.91500000000000004</v>
      </c>
      <c r="S103" s="64">
        <f t="shared" si="22"/>
        <v>5.0507999999999997</v>
      </c>
      <c r="T103" s="83">
        <f t="shared" si="23"/>
        <v>7525692</v>
      </c>
      <c r="U103" s="60" t="s">
        <v>34</v>
      </c>
      <c r="V103" s="186"/>
      <c r="W103" s="186"/>
      <c r="X103" s="186"/>
      <c r="Y103" s="85">
        <f t="shared" si="24"/>
        <v>3.6600000000000021E-2</v>
      </c>
      <c r="Z103" s="186"/>
      <c r="AA103" s="186"/>
      <c r="AB103" s="186"/>
      <c r="AC103" s="85">
        <f t="shared" si="25"/>
        <v>3.6600000000000021E-2</v>
      </c>
      <c r="AD103" s="86">
        <f t="shared" si="26"/>
        <v>54534.000000000029</v>
      </c>
      <c r="AE103" s="140" t="s">
        <v>278</v>
      </c>
    </row>
    <row r="104" spans="1:31" ht="35.25" customHeight="1" x14ac:dyDescent="0.25">
      <c r="A104" s="96">
        <v>53</v>
      </c>
      <c r="B104" s="77" t="s">
        <v>340</v>
      </c>
      <c r="C104" s="77"/>
      <c r="D104" s="148">
        <v>3.33</v>
      </c>
      <c r="E104" s="80"/>
      <c r="F104" s="80"/>
      <c r="G104" s="80">
        <f>ROUND((D104+E104+F104)*8/100,4)</f>
        <v>0.26640000000000003</v>
      </c>
      <c r="H104" s="80"/>
      <c r="I104" s="80">
        <f t="shared" si="18"/>
        <v>0.83250000000000002</v>
      </c>
      <c r="J104" s="80">
        <f t="shared" si="19"/>
        <v>4.4288999999999996</v>
      </c>
      <c r="K104" s="76">
        <f t="shared" si="20"/>
        <v>6599061</v>
      </c>
      <c r="L104" s="80"/>
      <c r="M104" s="88">
        <v>3.33</v>
      </c>
      <c r="N104" s="80"/>
      <c r="O104" s="80"/>
      <c r="P104" s="80">
        <f>ROUND((M104+N104+O104)*9/100,4)</f>
        <v>0.29970000000000002</v>
      </c>
      <c r="Q104" s="80"/>
      <c r="R104" s="80">
        <f t="shared" si="21"/>
        <v>0.83250000000000002</v>
      </c>
      <c r="S104" s="64">
        <f t="shared" si="22"/>
        <v>4.4622000000000002</v>
      </c>
      <c r="T104" s="83">
        <f t="shared" si="23"/>
        <v>6648678</v>
      </c>
      <c r="U104" s="60" t="s">
        <v>34</v>
      </c>
      <c r="V104" s="186"/>
      <c r="W104" s="186"/>
      <c r="X104" s="186"/>
      <c r="Y104" s="85">
        <f t="shared" si="24"/>
        <v>3.3299999999999996E-2</v>
      </c>
      <c r="Z104" s="186"/>
      <c r="AA104" s="186"/>
      <c r="AB104" s="186"/>
      <c r="AC104" s="85">
        <f t="shared" si="25"/>
        <v>3.3299999999999996E-2</v>
      </c>
      <c r="AD104" s="86">
        <f t="shared" si="26"/>
        <v>49616.999999999993</v>
      </c>
      <c r="AE104" s="140" t="s">
        <v>284</v>
      </c>
    </row>
    <row r="105" spans="1:31" ht="35.25" customHeight="1" x14ac:dyDescent="0.25">
      <c r="A105" s="96">
        <v>54</v>
      </c>
      <c r="B105" s="77" t="s">
        <v>341</v>
      </c>
      <c r="C105" s="77"/>
      <c r="D105" s="148">
        <v>3.33</v>
      </c>
      <c r="E105" s="80"/>
      <c r="F105" s="80"/>
      <c r="G105" s="80">
        <f t="shared" ref="G105:G111" si="29">ROUND((D105+E105+F105)*8/100,4)</f>
        <v>0.26640000000000003</v>
      </c>
      <c r="H105" s="80"/>
      <c r="I105" s="80">
        <f t="shared" si="18"/>
        <v>0.83250000000000002</v>
      </c>
      <c r="J105" s="80">
        <f t="shared" si="19"/>
        <v>4.4288999999999996</v>
      </c>
      <c r="K105" s="76">
        <f t="shared" si="20"/>
        <v>6599061</v>
      </c>
      <c r="L105" s="80"/>
      <c r="M105" s="88">
        <v>3.33</v>
      </c>
      <c r="N105" s="80"/>
      <c r="O105" s="80"/>
      <c r="P105" s="80">
        <f t="shared" ref="P105:P111" si="30">ROUND((M105+N105+O105)*9/100,4)</f>
        <v>0.29970000000000002</v>
      </c>
      <c r="Q105" s="80"/>
      <c r="R105" s="80">
        <f t="shared" si="21"/>
        <v>0.83250000000000002</v>
      </c>
      <c r="S105" s="64">
        <f t="shared" si="22"/>
        <v>4.4622000000000002</v>
      </c>
      <c r="T105" s="83">
        <f t="shared" si="23"/>
        <v>6648678</v>
      </c>
      <c r="U105" s="60" t="s">
        <v>34</v>
      </c>
      <c r="V105" s="186"/>
      <c r="W105" s="186"/>
      <c r="X105" s="186"/>
      <c r="Y105" s="85">
        <f t="shared" si="24"/>
        <v>3.3299999999999996E-2</v>
      </c>
      <c r="Z105" s="186"/>
      <c r="AA105" s="186"/>
      <c r="AB105" s="186"/>
      <c r="AC105" s="85">
        <f t="shared" si="25"/>
        <v>3.3299999999999996E-2</v>
      </c>
      <c r="AD105" s="86">
        <f t="shared" si="26"/>
        <v>49616.999999999993</v>
      </c>
      <c r="AE105" s="140" t="s">
        <v>284</v>
      </c>
    </row>
    <row r="106" spans="1:31" ht="35.25" customHeight="1" x14ac:dyDescent="0.25">
      <c r="A106" s="96">
        <v>55</v>
      </c>
      <c r="B106" s="77" t="s">
        <v>342</v>
      </c>
      <c r="C106" s="77"/>
      <c r="D106" s="148">
        <v>3.33</v>
      </c>
      <c r="E106" s="80"/>
      <c r="F106" s="80"/>
      <c r="G106" s="80">
        <f t="shared" si="29"/>
        <v>0.26640000000000003</v>
      </c>
      <c r="H106" s="80"/>
      <c r="I106" s="80">
        <f t="shared" si="18"/>
        <v>0.83250000000000002</v>
      </c>
      <c r="J106" s="80">
        <f t="shared" si="19"/>
        <v>4.4288999999999996</v>
      </c>
      <c r="K106" s="76">
        <f t="shared" si="20"/>
        <v>6599061</v>
      </c>
      <c r="L106" s="80"/>
      <c r="M106" s="88">
        <v>3.33</v>
      </c>
      <c r="N106" s="80"/>
      <c r="O106" s="80"/>
      <c r="P106" s="80">
        <f t="shared" si="30"/>
        <v>0.29970000000000002</v>
      </c>
      <c r="Q106" s="80"/>
      <c r="R106" s="80">
        <f t="shared" si="21"/>
        <v>0.83250000000000002</v>
      </c>
      <c r="S106" s="64">
        <f t="shared" si="22"/>
        <v>4.4622000000000002</v>
      </c>
      <c r="T106" s="83">
        <f t="shared" si="23"/>
        <v>6648678</v>
      </c>
      <c r="U106" s="60" t="s">
        <v>34</v>
      </c>
      <c r="V106" s="186"/>
      <c r="W106" s="186"/>
      <c r="X106" s="186"/>
      <c r="Y106" s="85">
        <f t="shared" si="24"/>
        <v>3.3299999999999996E-2</v>
      </c>
      <c r="Z106" s="186"/>
      <c r="AA106" s="186"/>
      <c r="AB106" s="186"/>
      <c r="AC106" s="85">
        <f t="shared" si="25"/>
        <v>3.3299999999999996E-2</v>
      </c>
      <c r="AD106" s="86">
        <f t="shared" si="26"/>
        <v>49616.999999999993</v>
      </c>
      <c r="AE106" s="140" t="s">
        <v>284</v>
      </c>
    </row>
    <row r="107" spans="1:31" ht="35.25" customHeight="1" x14ac:dyDescent="0.25">
      <c r="A107" s="96">
        <v>56</v>
      </c>
      <c r="B107" s="77" t="s">
        <v>343</v>
      </c>
      <c r="C107" s="77"/>
      <c r="D107" s="148">
        <v>3</v>
      </c>
      <c r="E107" s="80"/>
      <c r="F107" s="80"/>
      <c r="G107" s="80">
        <f t="shared" si="29"/>
        <v>0.24</v>
      </c>
      <c r="H107" s="80"/>
      <c r="I107" s="80">
        <f t="shared" si="18"/>
        <v>0.75</v>
      </c>
      <c r="J107" s="80">
        <f t="shared" si="19"/>
        <v>3.99</v>
      </c>
      <c r="K107" s="76">
        <f t="shared" si="20"/>
        <v>5945100</v>
      </c>
      <c r="L107" s="80"/>
      <c r="M107" s="88">
        <v>3</v>
      </c>
      <c r="N107" s="80"/>
      <c r="O107" s="80"/>
      <c r="P107" s="80">
        <f t="shared" si="30"/>
        <v>0.27</v>
      </c>
      <c r="Q107" s="80"/>
      <c r="R107" s="80">
        <f t="shared" si="21"/>
        <v>0.75</v>
      </c>
      <c r="S107" s="64">
        <f t="shared" si="22"/>
        <v>4.0199999999999996</v>
      </c>
      <c r="T107" s="83">
        <f t="shared" si="23"/>
        <v>5989800</v>
      </c>
      <c r="U107" s="60" t="s">
        <v>34</v>
      </c>
      <c r="V107" s="186"/>
      <c r="W107" s="186"/>
      <c r="X107" s="186"/>
      <c r="Y107" s="85">
        <f t="shared" si="24"/>
        <v>3.0000000000000027E-2</v>
      </c>
      <c r="Z107" s="186"/>
      <c r="AA107" s="186"/>
      <c r="AB107" s="186"/>
      <c r="AC107" s="85">
        <f t="shared" si="25"/>
        <v>3.0000000000000027E-2</v>
      </c>
      <c r="AD107" s="86">
        <f t="shared" si="26"/>
        <v>44700.000000000036</v>
      </c>
      <c r="AE107" s="140" t="s">
        <v>284</v>
      </c>
    </row>
    <row r="108" spans="1:31" ht="35.25" customHeight="1" x14ac:dyDescent="0.25">
      <c r="A108" s="96">
        <v>57</v>
      </c>
      <c r="B108" s="77" t="s">
        <v>346</v>
      </c>
      <c r="C108" s="77"/>
      <c r="D108" s="148">
        <v>3</v>
      </c>
      <c r="E108" s="80"/>
      <c r="F108" s="80"/>
      <c r="G108" s="80">
        <f t="shared" si="29"/>
        <v>0.24</v>
      </c>
      <c r="H108" s="80"/>
      <c r="I108" s="80">
        <f t="shared" si="18"/>
        <v>0.75</v>
      </c>
      <c r="J108" s="80">
        <f t="shared" si="19"/>
        <v>3.99</v>
      </c>
      <c r="K108" s="76">
        <f t="shared" si="20"/>
        <v>5945100</v>
      </c>
      <c r="L108" s="80"/>
      <c r="M108" s="88">
        <v>3</v>
      </c>
      <c r="N108" s="80"/>
      <c r="O108" s="80"/>
      <c r="P108" s="80">
        <f t="shared" si="30"/>
        <v>0.27</v>
      </c>
      <c r="Q108" s="80"/>
      <c r="R108" s="80">
        <f t="shared" si="21"/>
        <v>0.75</v>
      </c>
      <c r="S108" s="64">
        <f t="shared" si="22"/>
        <v>4.0199999999999996</v>
      </c>
      <c r="T108" s="83">
        <f t="shared" si="23"/>
        <v>5989800</v>
      </c>
      <c r="U108" s="60" t="s">
        <v>34</v>
      </c>
      <c r="V108" s="186"/>
      <c r="W108" s="186"/>
      <c r="X108" s="186"/>
      <c r="Y108" s="85">
        <f t="shared" si="24"/>
        <v>3.0000000000000027E-2</v>
      </c>
      <c r="Z108" s="186"/>
      <c r="AA108" s="186"/>
      <c r="AB108" s="186"/>
      <c r="AC108" s="85">
        <f t="shared" si="25"/>
        <v>3.0000000000000027E-2</v>
      </c>
      <c r="AD108" s="86">
        <f t="shared" si="26"/>
        <v>44700.000000000036</v>
      </c>
      <c r="AE108" s="140" t="s">
        <v>284</v>
      </c>
    </row>
    <row r="109" spans="1:31" ht="35.25" customHeight="1" x14ac:dyDescent="0.25">
      <c r="A109" s="96">
        <v>58</v>
      </c>
      <c r="B109" s="77" t="s">
        <v>347</v>
      </c>
      <c r="C109" s="77"/>
      <c r="D109" s="148">
        <v>3.66</v>
      </c>
      <c r="E109" s="80"/>
      <c r="F109" s="80"/>
      <c r="G109" s="80">
        <f>ROUND((D109+E109+F109)*12/100,4)</f>
        <v>0.43919999999999998</v>
      </c>
      <c r="H109" s="80"/>
      <c r="I109" s="80">
        <f t="shared" si="18"/>
        <v>0.91500000000000004</v>
      </c>
      <c r="J109" s="80">
        <f t="shared" si="19"/>
        <v>5.0141999999999998</v>
      </c>
      <c r="K109" s="76">
        <f t="shared" si="20"/>
        <v>7471158</v>
      </c>
      <c r="L109" s="80"/>
      <c r="M109" s="88">
        <v>3.66</v>
      </c>
      <c r="N109" s="80"/>
      <c r="O109" s="80"/>
      <c r="P109" s="80">
        <f>ROUND((M109+N109+O109)*13/100,4)</f>
        <v>0.4758</v>
      </c>
      <c r="Q109" s="80"/>
      <c r="R109" s="80">
        <f t="shared" si="21"/>
        <v>0.91500000000000004</v>
      </c>
      <c r="S109" s="64">
        <f t="shared" si="22"/>
        <v>5.0507999999999997</v>
      </c>
      <c r="T109" s="83">
        <f t="shared" si="23"/>
        <v>7525692</v>
      </c>
      <c r="U109" s="60" t="s">
        <v>34</v>
      </c>
      <c r="V109" s="186"/>
      <c r="W109" s="186"/>
      <c r="X109" s="186"/>
      <c r="Y109" s="85">
        <f t="shared" si="24"/>
        <v>3.6600000000000021E-2</v>
      </c>
      <c r="Z109" s="186"/>
      <c r="AA109" s="186"/>
      <c r="AB109" s="186"/>
      <c r="AC109" s="85">
        <f t="shared" si="25"/>
        <v>3.6600000000000021E-2</v>
      </c>
      <c r="AD109" s="86">
        <f t="shared" si="26"/>
        <v>54534.000000000029</v>
      </c>
      <c r="AE109" s="140" t="s">
        <v>278</v>
      </c>
    </row>
    <row r="110" spans="1:31" ht="35.25" customHeight="1" x14ac:dyDescent="0.25">
      <c r="A110" s="96">
        <v>59</v>
      </c>
      <c r="B110" s="77" t="s">
        <v>348</v>
      </c>
      <c r="C110" s="77"/>
      <c r="D110" s="148">
        <v>3.33</v>
      </c>
      <c r="E110" s="80"/>
      <c r="F110" s="80"/>
      <c r="G110" s="80">
        <f>ROUND((D110+E110+F110)*7/100,4)</f>
        <v>0.2331</v>
      </c>
      <c r="H110" s="80"/>
      <c r="I110" s="80">
        <f t="shared" si="18"/>
        <v>0.83250000000000002</v>
      </c>
      <c r="J110" s="80">
        <f t="shared" si="19"/>
        <v>4.3956</v>
      </c>
      <c r="K110" s="76">
        <f t="shared" si="20"/>
        <v>6549444</v>
      </c>
      <c r="L110" s="80"/>
      <c r="M110" s="88">
        <v>3.33</v>
      </c>
      <c r="N110" s="80"/>
      <c r="O110" s="80"/>
      <c r="P110" s="80">
        <f>ROUND((M110+N110+O110)*8/100,4)</f>
        <v>0.26640000000000003</v>
      </c>
      <c r="Q110" s="80"/>
      <c r="R110" s="80">
        <f t="shared" si="21"/>
        <v>0.83250000000000002</v>
      </c>
      <c r="S110" s="64">
        <f t="shared" si="22"/>
        <v>4.4288999999999996</v>
      </c>
      <c r="T110" s="83">
        <f t="shared" si="23"/>
        <v>6599061</v>
      </c>
      <c r="U110" s="60" t="s">
        <v>34</v>
      </c>
      <c r="V110" s="186"/>
      <c r="W110" s="186"/>
      <c r="X110" s="186"/>
      <c r="Y110" s="85">
        <f t="shared" si="24"/>
        <v>3.3300000000000024E-2</v>
      </c>
      <c r="Z110" s="186"/>
      <c r="AA110" s="186"/>
      <c r="AB110" s="186"/>
      <c r="AC110" s="85">
        <f t="shared" si="25"/>
        <v>3.3300000000000024E-2</v>
      </c>
      <c r="AD110" s="86">
        <f t="shared" si="26"/>
        <v>49617.000000000036</v>
      </c>
      <c r="AE110" s="140" t="s">
        <v>268</v>
      </c>
    </row>
    <row r="111" spans="1:31" ht="35.25" customHeight="1" x14ac:dyDescent="0.25">
      <c r="A111" s="96">
        <v>60</v>
      </c>
      <c r="B111" s="77" t="s">
        <v>349</v>
      </c>
      <c r="C111" s="77"/>
      <c r="D111" s="148">
        <v>3</v>
      </c>
      <c r="E111" s="80"/>
      <c r="F111" s="80"/>
      <c r="G111" s="80">
        <f t="shared" si="29"/>
        <v>0.24</v>
      </c>
      <c r="H111" s="80"/>
      <c r="I111" s="80">
        <f t="shared" si="18"/>
        <v>0.75</v>
      </c>
      <c r="J111" s="80">
        <f t="shared" si="19"/>
        <v>3.99</v>
      </c>
      <c r="K111" s="76">
        <f t="shared" si="20"/>
        <v>5945100</v>
      </c>
      <c r="L111" s="80"/>
      <c r="M111" s="88">
        <v>3</v>
      </c>
      <c r="N111" s="80"/>
      <c r="O111" s="80"/>
      <c r="P111" s="80">
        <f t="shared" si="30"/>
        <v>0.27</v>
      </c>
      <c r="Q111" s="80"/>
      <c r="R111" s="80">
        <f t="shared" si="21"/>
        <v>0.75</v>
      </c>
      <c r="S111" s="64">
        <f t="shared" si="22"/>
        <v>4.0199999999999996</v>
      </c>
      <c r="T111" s="83">
        <f t="shared" si="23"/>
        <v>5989800</v>
      </c>
      <c r="U111" s="60" t="s">
        <v>34</v>
      </c>
      <c r="V111" s="186"/>
      <c r="W111" s="186"/>
      <c r="X111" s="186"/>
      <c r="Y111" s="85">
        <f t="shared" si="24"/>
        <v>3.0000000000000027E-2</v>
      </c>
      <c r="Z111" s="186"/>
      <c r="AA111" s="186"/>
      <c r="AB111" s="186"/>
      <c r="AC111" s="85">
        <f t="shared" si="25"/>
        <v>3.0000000000000027E-2</v>
      </c>
      <c r="AD111" s="86">
        <f t="shared" si="26"/>
        <v>44700.000000000036</v>
      </c>
      <c r="AE111" s="140" t="s">
        <v>284</v>
      </c>
    </row>
    <row r="112" spans="1:31" ht="35.25" customHeight="1" x14ac:dyDescent="0.25">
      <c r="A112" s="96">
        <v>61</v>
      </c>
      <c r="B112" s="77" t="s">
        <v>350</v>
      </c>
      <c r="C112" s="77"/>
      <c r="D112" s="148">
        <v>3.66</v>
      </c>
      <c r="E112" s="80"/>
      <c r="F112" s="80"/>
      <c r="G112" s="80">
        <f>ROUND((D112+E112+F112)*6/100,4)</f>
        <v>0.21959999999999999</v>
      </c>
      <c r="H112" s="80"/>
      <c r="I112" s="80">
        <f t="shared" si="18"/>
        <v>0.91500000000000004</v>
      </c>
      <c r="J112" s="80">
        <f t="shared" si="19"/>
        <v>4.7946</v>
      </c>
      <c r="K112" s="76">
        <f t="shared" si="20"/>
        <v>7143954</v>
      </c>
      <c r="L112" s="80"/>
      <c r="M112" s="88">
        <v>3.66</v>
      </c>
      <c r="N112" s="80"/>
      <c r="O112" s="80"/>
      <c r="P112" s="80">
        <f>ROUND((M112+N112+O112)*7/100,4)</f>
        <v>0.25619999999999998</v>
      </c>
      <c r="Q112" s="80"/>
      <c r="R112" s="80">
        <f t="shared" si="21"/>
        <v>0.91500000000000004</v>
      </c>
      <c r="S112" s="64">
        <f t="shared" si="22"/>
        <v>4.8311999999999999</v>
      </c>
      <c r="T112" s="83">
        <f t="shared" si="23"/>
        <v>7198488</v>
      </c>
      <c r="U112" s="60" t="s">
        <v>34</v>
      </c>
      <c r="V112" s="186"/>
      <c r="W112" s="186"/>
      <c r="X112" s="186"/>
      <c r="Y112" s="85">
        <f t="shared" si="24"/>
        <v>3.6599999999999994E-2</v>
      </c>
      <c r="Z112" s="186"/>
      <c r="AA112" s="186"/>
      <c r="AB112" s="186"/>
      <c r="AC112" s="85">
        <f t="shared" si="25"/>
        <v>3.6599999999999994E-2</v>
      </c>
      <c r="AD112" s="86">
        <f t="shared" si="26"/>
        <v>54533.999999999993</v>
      </c>
      <c r="AE112" s="140" t="s">
        <v>351</v>
      </c>
    </row>
    <row r="113" spans="1:31" ht="35.25" customHeight="1" x14ac:dyDescent="0.25">
      <c r="A113" s="96">
        <v>62</v>
      </c>
      <c r="B113" s="77" t="s">
        <v>207</v>
      </c>
      <c r="C113" s="77"/>
      <c r="D113" s="148">
        <v>2.67</v>
      </c>
      <c r="E113" s="80"/>
      <c r="F113" s="80"/>
      <c r="G113" s="80">
        <f>ROUND((D113+E113+F113)*5/100,4)</f>
        <v>0.13350000000000001</v>
      </c>
      <c r="H113" s="80"/>
      <c r="I113" s="80">
        <f t="shared" si="18"/>
        <v>0.66749999999999998</v>
      </c>
      <c r="J113" s="80">
        <f t="shared" si="19"/>
        <v>3.4710000000000001</v>
      </c>
      <c r="K113" s="76">
        <f t="shared" si="20"/>
        <v>5171790</v>
      </c>
      <c r="L113" s="80"/>
      <c r="M113" s="88">
        <v>2.67</v>
      </c>
      <c r="N113" s="80"/>
      <c r="O113" s="80"/>
      <c r="P113" s="80">
        <f>ROUND((M113+N113+O113)*6/100,4)</f>
        <v>0.16020000000000001</v>
      </c>
      <c r="Q113" s="80"/>
      <c r="R113" s="80">
        <f t="shared" si="21"/>
        <v>0.66749999999999998</v>
      </c>
      <c r="S113" s="64">
        <f t="shared" si="22"/>
        <v>3.4977</v>
      </c>
      <c r="T113" s="83">
        <f t="shared" si="23"/>
        <v>5211573</v>
      </c>
      <c r="U113" s="60" t="s">
        <v>34</v>
      </c>
      <c r="V113" s="186"/>
      <c r="W113" s="186"/>
      <c r="X113" s="186"/>
      <c r="Y113" s="85">
        <f t="shared" si="24"/>
        <v>2.6700000000000002E-2</v>
      </c>
      <c r="Z113" s="186"/>
      <c r="AA113" s="186"/>
      <c r="AB113" s="186"/>
      <c r="AC113" s="85">
        <f t="shared" si="25"/>
        <v>2.6700000000000002E-2</v>
      </c>
      <c r="AD113" s="86">
        <f t="shared" si="26"/>
        <v>39783</v>
      </c>
      <c r="AE113" s="140" t="s">
        <v>286</v>
      </c>
    </row>
    <row r="114" spans="1:31" ht="35.25" customHeight="1" x14ac:dyDescent="0.25">
      <c r="A114" s="96">
        <v>63</v>
      </c>
      <c r="B114" s="77" t="s">
        <v>212</v>
      </c>
      <c r="C114" s="77"/>
      <c r="D114" s="148">
        <v>2.67</v>
      </c>
      <c r="E114" s="80"/>
      <c r="F114" s="80">
        <v>0.35</v>
      </c>
      <c r="G114" s="80">
        <f>ROUND((D114+E114+F114)*5/100,4)</f>
        <v>0.151</v>
      </c>
      <c r="H114" s="80"/>
      <c r="I114" s="80">
        <f t="shared" si="18"/>
        <v>0.755</v>
      </c>
      <c r="J114" s="80">
        <f t="shared" si="19"/>
        <v>3.9260000000000002</v>
      </c>
      <c r="K114" s="76">
        <f t="shared" si="20"/>
        <v>5849740</v>
      </c>
      <c r="L114" s="80"/>
      <c r="M114" s="88">
        <v>2.67</v>
      </c>
      <c r="N114" s="80"/>
      <c r="O114" s="80">
        <v>0.35</v>
      </c>
      <c r="P114" s="80">
        <f>ROUND((M114+N114+O114)*6/100,4)</f>
        <v>0.1812</v>
      </c>
      <c r="Q114" s="80"/>
      <c r="R114" s="80">
        <f t="shared" si="21"/>
        <v>0.755</v>
      </c>
      <c r="S114" s="64">
        <f t="shared" si="22"/>
        <v>3.9561999999999999</v>
      </c>
      <c r="T114" s="83">
        <f t="shared" si="23"/>
        <v>5894738</v>
      </c>
      <c r="U114" s="60" t="s">
        <v>34</v>
      </c>
      <c r="V114" s="186"/>
      <c r="W114" s="186"/>
      <c r="X114" s="186"/>
      <c r="Y114" s="85">
        <f t="shared" si="24"/>
        <v>3.0200000000000005E-2</v>
      </c>
      <c r="Z114" s="186"/>
      <c r="AA114" s="186"/>
      <c r="AB114" s="186"/>
      <c r="AC114" s="85">
        <f t="shared" si="25"/>
        <v>3.0200000000000005E-2</v>
      </c>
      <c r="AD114" s="86">
        <f t="shared" si="26"/>
        <v>44998.000000000007</v>
      </c>
      <c r="AE114" s="140" t="s">
        <v>286</v>
      </c>
    </row>
    <row r="115" spans="1:31" ht="35.25" customHeight="1" x14ac:dyDescent="0.25">
      <c r="A115" s="96">
        <v>64</v>
      </c>
      <c r="B115" s="77" t="s">
        <v>209</v>
      </c>
      <c r="C115" s="77"/>
      <c r="D115" s="148">
        <v>3</v>
      </c>
      <c r="E115" s="80"/>
      <c r="F115" s="80"/>
      <c r="G115" s="80">
        <f>ROUND((D115+E115+F115)*5/100,4)</f>
        <v>0.15</v>
      </c>
      <c r="H115" s="80"/>
      <c r="I115" s="80">
        <f t="shared" si="18"/>
        <v>0.75</v>
      </c>
      <c r="J115" s="80">
        <f t="shared" si="19"/>
        <v>3.9</v>
      </c>
      <c r="K115" s="76">
        <f t="shared" si="20"/>
        <v>5811000</v>
      </c>
      <c r="L115" s="80"/>
      <c r="M115" s="88">
        <v>3</v>
      </c>
      <c r="N115" s="80"/>
      <c r="O115" s="80"/>
      <c r="P115" s="80">
        <f>ROUND((M115+N115+O115)*6/100,4)</f>
        <v>0.18</v>
      </c>
      <c r="Q115" s="80"/>
      <c r="R115" s="80">
        <f t="shared" si="21"/>
        <v>0.75</v>
      </c>
      <c r="S115" s="64">
        <f t="shared" si="22"/>
        <v>3.93</v>
      </c>
      <c r="T115" s="83">
        <f t="shared" si="23"/>
        <v>5855700</v>
      </c>
      <c r="U115" s="60" t="s">
        <v>34</v>
      </c>
      <c r="V115" s="186"/>
      <c r="W115" s="186"/>
      <c r="X115" s="186"/>
      <c r="Y115" s="85">
        <f t="shared" si="24"/>
        <v>0.03</v>
      </c>
      <c r="Z115" s="186"/>
      <c r="AA115" s="186"/>
      <c r="AB115" s="186"/>
      <c r="AC115" s="85">
        <f t="shared" si="25"/>
        <v>0.03</v>
      </c>
      <c r="AD115" s="86">
        <f t="shared" si="26"/>
        <v>44700</v>
      </c>
      <c r="AE115" s="140" t="s">
        <v>286</v>
      </c>
    </row>
    <row r="116" spans="1:31" ht="35.25" customHeight="1" x14ac:dyDescent="0.25">
      <c r="A116" s="96">
        <v>65</v>
      </c>
      <c r="B116" s="125" t="s">
        <v>214</v>
      </c>
      <c r="C116" s="125"/>
      <c r="D116" s="268">
        <v>2.67</v>
      </c>
      <c r="E116" s="127"/>
      <c r="F116" s="127">
        <v>0.25</v>
      </c>
      <c r="G116" s="127">
        <f>ROUND((D116+E116+F116)*5/100,4)</f>
        <v>0.14599999999999999</v>
      </c>
      <c r="H116" s="269"/>
      <c r="I116" s="127">
        <f t="shared" ref="I116" si="31">ROUND((D116+E116+F116)*25/100,4)</f>
        <v>0.73</v>
      </c>
      <c r="J116" s="127">
        <f t="shared" ref="J116" si="32">ROUND(SUM(D116:I116),4)</f>
        <v>3.7959999999999998</v>
      </c>
      <c r="K116" s="128">
        <f t="shared" ref="K116" si="33">ROUND(J116*$B$6,0)</f>
        <v>5656040</v>
      </c>
      <c r="L116" s="127"/>
      <c r="M116" s="129">
        <v>2.67</v>
      </c>
      <c r="N116" s="127"/>
      <c r="O116" s="127">
        <v>0.25</v>
      </c>
      <c r="P116" s="127">
        <f>ROUND((M116+N116+O116)*6/100,4)</f>
        <v>0.17519999999999999</v>
      </c>
      <c r="Q116" s="269"/>
      <c r="R116" s="127">
        <f t="shared" ref="R116" si="34">ROUND((M116+N116+O116)*25/100,4)</f>
        <v>0.73</v>
      </c>
      <c r="S116" s="271">
        <f t="shared" ref="S116:S118" si="35">ROUND(SUM(M116:R116),4)</f>
        <v>3.8252000000000002</v>
      </c>
      <c r="T116" s="128">
        <f t="shared" ref="T116:T118" si="36">ROUND(S116*$B$6,0)</f>
        <v>5699548</v>
      </c>
      <c r="U116" s="132" t="s">
        <v>34</v>
      </c>
      <c r="V116" s="133">
        <f t="shared" si="17"/>
        <v>0</v>
      </c>
      <c r="W116" s="133"/>
      <c r="X116" s="133"/>
      <c r="Y116" s="133">
        <f t="shared" ref="Y116" si="37">P116-G116</f>
        <v>2.9200000000000004E-2</v>
      </c>
      <c r="Z116" s="133"/>
      <c r="AA116" s="133">
        <f>Q116</f>
        <v>0</v>
      </c>
      <c r="AB116" s="133"/>
      <c r="AC116" s="133">
        <f t="shared" ref="AC116:AC118" si="38">SUM(V116:AB116)</f>
        <v>2.9200000000000004E-2</v>
      </c>
      <c r="AD116" s="134">
        <f t="shared" ref="AD116:AD118" si="39">AC116*$B$6</f>
        <v>43508.000000000007</v>
      </c>
      <c r="AE116" s="140" t="s">
        <v>286</v>
      </c>
    </row>
    <row r="117" spans="1:31" ht="35.25" customHeight="1" x14ac:dyDescent="0.25">
      <c r="A117" s="96">
        <v>66</v>
      </c>
      <c r="B117" s="77" t="s">
        <v>79</v>
      </c>
      <c r="C117" s="77"/>
      <c r="D117" s="148">
        <v>0</v>
      </c>
      <c r="E117" s="80"/>
      <c r="F117" s="80"/>
      <c r="G117" s="80"/>
      <c r="H117" s="81"/>
      <c r="I117" s="80"/>
      <c r="J117" s="80"/>
      <c r="K117" s="76"/>
      <c r="L117" s="80"/>
      <c r="M117" s="88">
        <v>2.67</v>
      </c>
      <c r="N117" s="80"/>
      <c r="O117" s="80"/>
      <c r="P117" s="80"/>
      <c r="Q117" s="81"/>
      <c r="R117" s="80"/>
      <c r="S117" s="270">
        <f t="shared" si="35"/>
        <v>2.67</v>
      </c>
      <c r="T117" s="76">
        <f t="shared" si="36"/>
        <v>3978300</v>
      </c>
      <c r="U117" s="177" t="s">
        <v>80</v>
      </c>
      <c r="V117" s="186">
        <f>M117</f>
        <v>2.67</v>
      </c>
      <c r="W117" s="186"/>
      <c r="X117" s="186"/>
      <c r="Y117" s="186"/>
      <c r="Z117" s="186"/>
      <c r="AA117" s="186"/>
      <c r="AB117" s="186"/>
      <c r="AC117" s="186">
        <f t="shared" si="38"/>
        <v>2.67</v>
      </c>
      <c r="AD117" s="187">
        <f t="shared" si="39"/>
        <v>3978300</v>
      </c>
      <c r="AE117" s="84" t="s">
        <v>356</v>
      </c>
    </row>
    <row r="118" spans="1:31" ht="35.25" customHeight="1" x14ac:dyDescent="0.25">
      <c r="A118" s="96">
        <v>67</v>
      </c>
      <c r="B118" s="254" t="s">
        <v>81</v>
      </c>
      <c r="C118" s="254"/>
      <c r="D118" s="255">
        <v>0</v>
      </c>
      <c r="E118" s="256"/>
      <c r="F118" s="256"/>
      <c r="G118" s="256"/>
      <c r="H118" s="257"/>
      <c r="I118" s="256"/>
      <c r="J118" s="256"/>
      <c r="K118" s="131"/>
      <c r="L118" s="256"/>
      <c r="M118" s="258">
        <v>2.86</v>
      </c>
      <c r="N118" s="256"/>
      <c r="O118" s="256"/>
      <c r="P118" s="256"/>
      <c r="Q118" s="257"/>
      <c r="R118" s="256"/>
      <c r="S118" s="130">
        <f t="shared" si="35"/>
        <v>2.86</v>
      </c>
      <c r="T118" s="131">
        <f t="shared" si="36"/>
        <v>4261400</v>
      </c>
      <c r="U118" s="190" t="s">
        <v>82</v>
      </c>
      <c r="V118" s="259">
        <f>M118</f>
        <v>2.86</v>
      </c>
      <c r="W118" s="259"/>
      <c r="X118" s="259"/>
      <c r="Y118" s="259"/>
      <c r="Z118" s="259"/>
      <c r="AA118" s="259"/>
      <c r="AB118" s="259"/>
      <c r="AC118" s="85">
        <f t="shared" si="38"/>
        <v>2.86</v>
      </c>
      <c r="AD118" s="86">
        <f t="shared" si="39"/>
        <v>4261400</v>
      </c>
      <c r="AE118" s="204" t="s">
        <v>356</v>
      </c>
    </row>
    <row r="119" spans="1:31" ht="22.5" customHeight="1" x14ac:dyDescent="0.25">
      <c r="A119" s="34" t="s">
        <v>36</v>
      </c>
      <c r="B119" s="66"/>
      <c r="C119" s="63"/>
      <c r="D119" s="73">
        <f t="shared" ref="D119:AD119" si="40">D120+D122</f>
        <v>3.66</v>
      </c>
      <c r="E119" s="68">
        <f t="shared" si="40"/>
        <v>0</v>
      </c>
      <c r="F119" s="73">
        <f t="shared" si="40"/>
        <v>0</v>
      </c>
      <c r="G119" s="68">
        <f t="shared" si="40"/>
        <v>0.43919999999999998</v>
      </c>
      <c r="H119" s="73">
        <f t="shared" si="40"/>
        <v>0</v>
      </c>
      <c r="I119" s="68">
        <f t="shared" si="40"/>
        <v>0.91500000000000004</v>
      </c>
      <c r="J119" s="68">
        <f t="shared" si="40"/>
        <v>5.0141999999999998</v>
      </c>
      <c r="K119" s="67">
        <f t="shared" si="40"/>
        <v>7471158</v>
      </c>
      <c r="L119" s="73">
        <f t="shared" si="40"/>
        <v>0</v>
      </c>
      <c r="M119" s="73">
        <f t="shared" si="40"/>
        <v>0</v>
      </c>
      <c r="N119" s="68">
        <f t="shared" si="40"/>
        <v>0</v>
      </c>
      <c r="O119" s="73">
        <f t="shared" si="40"/>
        <v>0</v>
      </c>
      <c r="P119" s="68">
        <f t="shared" si="40"/>
        <v>0</v>
      </c>
      <c r="Q119" s="73">
        <f t="shared" si="40"/>
        <v>0</v>
      </c>
      <c r="R119" s="68">
        <f t="shared" si="40"/>
        <v>0</v>
      </c>
      <c r="S119" s="68">
        <f t="shared" si="40"/>
        <v>0</v>
      </c>
      <c r="T119" s="68">
        <f t="shared" si="40"/>
        <v>0</v>
      </c>
      <c r="U119" s="67">
        <f t="shared" si="40"/>
        <v>0</v>
      </c>
      <c r="V119" s="73">
        <f t="shared" si="40"/>
        <v>3.66</v>
      </c>
      <c r="W119" s="68">
        <f t="shared" si="40"/>
        <v>0</v>
      </c>
      <c r="X119" s="73">
        <f t="shared" si="40"/>
        <v>0</v>
      </c>
      <c r="Y119" s="68">
        <f t="shared" si="40"/>
        <v>0.43919999999999998</v>
      </c>
      <c r="Z119" s="73">
        <f t="shared" si="40"/>
        <v>0</v>
      </c>
      <c r="AA119" s="73">
        <f t="shared" si="40"/>
        <v>0</v>
      </c>
      <c r="AB119" s="68">
        <f t="shared" si="40"/>
        <v>0.91500000000000004</v>
      </c>
      <c r="AC119" s="68">
        <f>AC120+AC122</f>
        <v>5.0141999999999998</v>
      </c>
      <c r="AD119" s="67">
        <f t="shared" si="40"/>
        <v>7471158</v>
      </c>
      <c r="AE119" s="72"/>
    </row>
    <row r="120" spans="1:31" ht="23.25" customHeight="1" x14ac:dyDescent="0.25">
      <c r="A120" s="59"/>
      <c r="B120" s="214" t="s">
        <v>29</v>
      </c>
      <c r="C120" s="60"/>
      <c r="D120" s="74">
        <f t="shared" ref="D120:AE120" si="41">SUM(D121:D121)</f>
        <v>0</v>
      </c>
      <c r="E120" s="78">
        <f t="shared" si="41"/>
        <v>0</v>
      </c>
      <c r="F120" s="74">
        <f t="shared" si="41"/>
        <v>0</v>
      </c>
      <c r="G120" s="78">
        <f t="shared" si="41"/>
        <v>0</v>
      </c>
      <c r="H120" s="74">
        <f t="shared" si="41"/>
        <v>0</v>
      </c>
      <c r="I120" s="78">
        <f t="shared" si="41"/>
        <v>0</v>
      </c>
      <c r="J120" s="78">
        <f t="shared" si="41"/>
        <v>0</v>
      </c>
      <c r="K120" s="75">
        <f t="shared" si="41"/>
        <v>0</v>
      </c>
      <c r="L120" s="74">
        <f t="shared" si="41"/>
        <v>0</v>
      </c>
      <c r="M120" s="74">
        <f t="shared" si="41"/>
        <v>0</v>
      </c>
      <c r="N120" s="78">
        <f t="shared" si="41"/>
        <v>0</v>
      </c>
      <c r="O120" s="74">
        <f t="shared" si="41"/>
        <v>0</v>
      </c>
      <c r="P120" s="78">
        <f t="shared" si="41"/>
        <v>0</v>
      </c>
      <c r="Q120" s="74">
        <f t="shared" si="41"/>
        <v>0</v>
      </c>
      <c r="R120" s="78">
        <f t="shared" si="41"/>
        <v>0</v>
      </c>
      <c r="S120" s="78">
        <f t="shared" si="41"/>
        <v>0</v>
      </c>
      <c r="T120" s="74">
        <f t="shared" si="41"/>
        <v>0</v>
      </c>
      <c r="U120" s="67">
        <f t="shared" si="41"/>
        <v>0</v>
      </c>
      <c r="V120" s="74">
        <f t="shared" si="41"/>
        <v>0</v>
      </c>
      <c r="W120" s="74">
        <f t="shared" si="41"/>
        <v>0</v>
      </c>
      <c r="X120" s="74">
        <f t="shared" si="41"/>
        <v>0</v>
      </c>
      <c r="Y120" s="78">
        <f t="shared" si="41"/>
        <v>0</v>
      </c>
      <c r="Z120" s="74">
        <f t="shared" si="41"/>
        <v>0</v>
      </c>
      <c r="AA120" s="74">
        <f t="shared" si="41"/>
        <v>0</v>
      </c>
      <c r="AB120" s="78">
        <f t="shared" si="41"/>
        <v>0</v>
      </c>
      <c r="AC120" s="78">
        <f t="shared" si="41"/>
        <v>0</v>
      </c>
      <c r="AD120" s="75">
        <f t="shared" si="41"/>
        <v>0</v>
      </c>
      <c r="AE120" s="74">
        <f t="shared" si="41"/>
        <v>0</v>
      </c>
    </row>
    <row r="121" spans="1:31" ht="28.5" hidden="1" customHeight="1" x14ac:dyDescent="0.25">
      <c r="A121" s="207"/>
      <c r="B121" s="215"/>
      <c r="C121" s="208"/>
      <c r="D121" s="209"/>
      <c r="E121" s="182"/>
      <c r="F121" s="182"/>
      <c r="G121" s="182"/>
      <c r="H121" s="182"/>
      <c r="I121" s="182"/>
      <c r="J121" s="182"/>
      <c r="K121" s="183"/>
      <c r="L121" s="182"/>
      <c r="M121" s="210"/>
      <c r="N121" s="182"/>
      <c r="O121" s="182"/>
      <c r="P121" s="182"/>
      <c r="Q121" s="182"/>
      <c r="R121" s="182"/>
      <c r="S121" s="211"/>
      <c r="T121" s="183"/>
      <c r="U121" s="60"/>
      <c r="V121" s="184"/>
      <c r="W121" s="184"/>
      <c r="X121" s="184"/>
      <c r="Y121" s="184"/>
      <c r="Z121" s="184"/>
      <c r="AA121" s="184"/>
      <c r="AB121" s="184"/>
      <c r="AC121" s="184"/>
      <c r="AD121" s="185"/>
      <c r="AE121" s="212"/>
    </row>
    <row r="122" spans="1:31" ht="48" customHeight="1" x14ac:dyDescent="0.25">
      <c r="A122" s="192"/>
      <c r="B122" s="193" t="s">
        <v>33</v>
      </c>
      <c r="C122" s="193"/>
      <c r="D122" s="194">
        <f t="shared" ref="D122:AD122" si="42">SUM(D123:D123)</f>
        <v>3.66</v>
      </c>
      <c r="E122" s="194">
        <f t="shared" si="42"/>
        <v>0</v>
      </c>
      <c r="F122" s="194">
        <f t="shared" si="42"/>
        <v>0</v>
      </c>
      <c r="G122" s="195">
        <f t="shared" si="42"/>
        <v>0.43919999999999998</v>
      </c>
      <c r="H122" s="194">
        <f t="shared" si="42"/>
        <v>0</v>
      </c>
      <c r="I122" s="195">
        <f t="shared" si="42"/>
        <v>0.91500000000000004</v>
      </c>
      <c r="J122" s="195">
        <f t="shared" si="42"/>
        <v>5.0141999999999998</v>
      </c>
      <c r="K122" s="196">
        <f t="shared" si="42"/>
        <v>7471158</v>
      </c>
      <c r="L122" s="194">
        <f t="shared" si="42"/>
        <v>0</v>
      </c>
      <c r="M122" s="194">
        <f t="shared" si="42"/>
        <v>0</v>
      </c>
      <c r="N122" s="194">
        <f t="shared" si="42"/>
        <v>0</v>
      </c>
      <c r="O122" s="194">
        <f t="shared" si="42"/>
        <v>0</v>
      </c>
      <c r="P122" s="195">
        <f t="shared" si="42"/>
        <v>0</v>
      </c>
      <c r="Q122" s="194">
        <f t="shared" si="42"/>
        <v>0</v>
      </c>
      <c r="R122" s="195">
        <f t="shared" si="42"/>
        <v>0</v>
      </c>
      <c r="S122" s="195">
        <f t="shared" si="42"/>
        <v>0</v>
      </c>
      <c r="T122" s="196">
        <f t="shared" si="42"/>
        <v>0</v>
      </c>
      <c r="U122" s="194">
        <f t="shared" si="42"/>
        <v>0</v>
      </c>
      <c r="V122" s="194">
        <f t="shared" si="42"/>
        <v>3.66</v>
      </c>
      <c r="W122" s="194">
        <f t="shared" si="42"/>
        <v>0</v>
      </c>
      <c r="X122" s="194">
        <f t="shared" si="42"/>
        <v>0</v>
      </c>
      <c r="Y122" s="195">
        <f t="shared" si="42"/>
        <v>0.43919999999999998</v>
      </c>
      <c r="Z122" s="194">
        <f t="shared" si="42"/>
        <v>0</v>
      </c>
      <c r="AA122" s="194">
        <f t="shared" si="42"/>
        <v>0</v>
      </c>
      <c r="AB122" s="195">
        <f t="shared" si="42"/>
        <v>0.91500000000000004</v>
      </c>
      <c r="AC122" s="195">
        <f t="shared" si="42"/>
        <v>5.0141999999999998</v>
      </c>
      <c r="AD122" s="196">
        <f t="shared" si="42"/>
        <v>7471158</v>
      </c>
      <c r="AE122" s="110"/>
    </row>
    <row r="123" spans="1:31" ht="45.75" customHeight="1" x14ac:dyDescent="0.25">
      <c r="A123" s="192">
        <v>1</v>
      </c>
      <c r="B123" s="112" t="s">
        <v>352</v>
      </c>
      <c r="C123" s="112"/>
      <c r="D123" s="218">
        <v>3.66</v>
      </c>
      <c r="E123" s="116"/>
      <c r="F123" s="116"/>
      <c r="G123" s="114">
        <f>ROUND((D123+E123+F123)*12/100,4)</f>
        <v>0.43919999999999998</v>
      </c>
      <c r="H123" s="219"/>
      <c r="I123" s="114">
        <f>ROUND((D123+E123+F123)*25/100,4)</f>
        <v>0.91500000000000004</v>
      </c>
      <c r="J123" s="114">
        <f>ROUND(SUM(D123:I123),4)</f>
        <v>5.0141999999999998</v>
      </c>
      <c r="K123" s="115">
        <f>ROUND(J123*$B$6,0)</f>
        <v>7471158</v>
      </c>
      <c r="L123" s="116"/>
      <c r="M123" s="116"/>
      <c r="N123" s="116"/>
      <c r="O123" s="116"/>
      <c r="P123" s="116"/>
      <c r="Q123" s="219"/>
      <c r="R123" s="114"/>
      <c r="S123" s="114"/>
      <c r="T123" s="115"/>
      <c r="U123" s="63" t="s">
        <v>34</v>
      </c>
      <c r="V123" s="218">
        <f>D123</f>
        <v>3.66</v>
      </c>
      <c r="W123" s="116"/>
      <c r="X123" s="116"/>
      <c r="Y123" s="114">
        <f>G123</f>
        <v>0.43919999999999998</v>
      </c>
      <c r="Z123" s="116"/>
      <c r="AA123" s="116"/>
      <c r="AB123" s="114">
        <f>I123</f>
        <v>0.91500000000000004</v>
      </c>
      <c r="AC123" s="114">
        <f>SUM(V123:AB123)</f>
        <v>5.0141999999999998</v>
      </c>
      <c r="AD123" s="115">
        <f>AC123*$B$6</f>
        <v>7471158</v>
      </c>
      <c r="AE123" s="31" t="s">
        <v>354</v>
      </c>
    </row>
    <row r="124" spans="1:31" ht="24" customHeight="1" x14ac:dyDescent="0.25">
      <c r="A124" s="43"/>
      <c r="B124" s="42"/>
      <c r="C124" s="8"/>
      <c r="D124" s="9"/>
      <c r="E124" s="10"/>
      <c r="F124" s="11"/>
      <c r="G124" s="22"/>
      <c r="H124" s="22"/>
      <c r="I124" s="22"/>
      <c r="J124" s="23"/>
      <c r="K124" s="24"/>
      <c r="L124" s="12"/>
      <c r="M124" s="13"/>
      <c r="N124" s="13"/>
      <c r="O124" s="7"/>
      <c r="P124" s="7"/>
      <c r="Q124" s="14"/>
      <c r="R124" s="18"/>
      <c r="S124" s="18"/>
      <c r="T124" s="18"/>
      <c r="U124" s="18"/>
      <c r="V124" s="7"/>
      <c r="W124" s="220"/>
      <c r="X124" s="221"/>
      <c r="Y124" s="42"/>
      <c r="Z124" s="42"/>
      <c r="AA124" s="42"/>
      <c r="AB124" s="42"/>
      <c r="AC124" s="42"/>
      <c r="AD124" s="42"/>
      <c r="AE124" s="18"/>
    </row>
    <row r="125" spans="1:31" ht="15.75" x14ac:dyDescent="0.25">
      <c r="A125" s="43"/>
      <c r="B125" s="42"/>
      <c r="C125" s="8"/>
      <c r="D125" s="9"/>
      <c r="E125" s="10"/>
      <c r="F125" s="11"/>
      <c r="G125" s="22"/>
      <c r="H125" s="22"/>
      <c r="I125" s="22"/>
      <c r="J125" s="23"/>
      <c r="K125" s="24"/>
      <c r="L125" s="12"/>
      <c r="M125" s="13"/>
      <c r="N125" s="13"/>
      <c r="O125" s="7"/>
      <c r="P125" s="7"/>
      <c r="Q125" s="14"/>
      <c r="R125" s="18"/>
      <c r="S125" s="18"/>
      <c r="T125" s="18"/>
      <c r="U125" s="18"/>
      <c r="V125" s="15"/>
      <c r="W125" s="6"/>
      <c r="X125" s="33"/>
      <c r="Y125" s="44"/>
      <c r="Z125" s="44"/>
      <c r="AA125" s="301" t="s">
        <v>355</v>
      </c>
      <c r="AB125" s="301"/>
      <c r="AC125" s="301"/>
      <c r="AD125" s="301"/>
      <c r="AE125" s="301"/>
    </row>
    <row r="126" spans="1:31" ht="15.75" x14ac:dyDescent="0.25">
      <c r="A126" s="43"/>
      <c r="B126" s="291" t="s">
        <v>37</v>
      </c>
      <c r="C126" s="291"/>
      <c r="D126" s="291"/>
      <c r="E126" s="291"/>
      <c r="F126" s="291"/>
      <c r="G126" s="291"/>
      <c r="H126" s="291"/>
      <c r="I126" s="291"/>
      <c r="J126" s="291"/>
      <c r="K126" s="291"/>
      <c r="L126" s="291"/>
      <c r="M126" s="291"/>
      <c r="N126" s="291"/>
      <c r="O126" s="291"/>
      <c r="P126" s="291"/>
      <c r="Q126" s="291"/>
      <c r="R126" s="291"/>
      <c r="S126" s="291"/>
      <c r="T126" s="291"/>
      <c r="U126" s="291"/>
      <c r="V126" s="3"/>
      <c r="W126" s="291" t="s">
        <v>38</v>
      </c>
      <c r="X126" s="291"/>
      <c r="Y126" s="291"/>
      <c r="Z126" s="291"/>
      <c r="AA126" s="302" t="s">
        <v>39</v>
      </c>
      <c r="AB126" s="302"/>
      <c r="AC126" s="302"/>
      <c r="AD126" s="302"/>
      <c r="AE126" s="302"/>
    </row>
    <row r="127" spans="1:31" ht="15.75" x14ac:dyDescent="0.25">
      <c r="A127" s="43"/>
      <c r="B127" s="2"/>
      <c r="C127" s="2"/>
      <c r="D127" s="2"/>
      <c r="E127" s="2"/>
      <c r="F127" s="2"/>
      <c r="G127" s="4"/>
      <c r="H127" s="4"/>
      <c r="I127" s="2"/>
      <c r="J127" s="2"/>
      <c r="K127" s="4"/>
      <c r="L127" s="2"/>
      <c r="M127" s="2"/>
      <c r="N127" s="2"/>
      <c r="O127" s="2"/>
      <c r="P127" s="2"/>
      <c r="Q127" s="2"/>
      <c r="R127" s="2"/>
      <c r="S127" s="253"/>
      <c r="T127" s="253"/>
      <c r="U127" s="253"/>
      <c r="V127" s="25"/>
      <c r="W127" s="253"/>
      <c r="X127" s="252"/>
      <c r="Y127" s="2"/>
      <c r="Z127" s="2"/>
      <c r="AA127" s="2"/>
      <c r="AB127" s="252"/>
      <c r="AC127" s="47"/>
      <c r="AD127" s="47"/>
      <c r="AE127" s="4"/>
    </row>
    <row r="128" spans="1:31" ht="15.75" x14ac:dyDescent="0.25">
      <c r="A128" s="43"/>
      <c r="B128" s="2"/>
      <c r="C128" s="2"/>
      <c r="D128" s="2"/>
      <c r="E128" s="2"/>
      <c r="F128" s="2"/>
      <c r="G128" s="4"/>
      <c r="H128" s="4"/>
      <c r="I128" s="2"/>
      <c r="J128" s="2"/>
      <c r="K128" s="4"/>
      <c r="L128" s="2"/>
      <c r="M128" s="2"/>
      <c r="N128" s="2"/>
      <c r="O128" s="2"/>
      <c r="P128" s="2"/>
      <c r="Q128" s="2"/>
      <c r="R128" s="2"/>
      <c r="S128" s="253"/>
      <c r="T128" s="25"/>
      <c r="U128" s="25"/>
      <c r="V128" s="2"/>
      <c r="W128" s="2"/>
      <c r="X128" s="2"/>
      <c r="Y128" s="48"/>
      <c r="Z128" s="2"/>
      <c r="AA128" s="2"/>
      <c r="AB128" s="2"/>
      <c r="AC128" s="41"/>
      <c r="AD128" s="41"/>
      <c r="AE128" s="3"/>
    </row>
    <row r="129" spans="1:31" ht="15.75" x14ac:dyDescent="0.25">
      <c r="A129" s="43"/>
      <c r="B129" s="2"/>
      <c r="C129" s="2"/>
      <c r="D129" s="2"/>
      <c r="E129" s="2"/>
      <c r="F129" s="2"/>
      <c r="G129" s="4"/>
      <c r="H129" s="4"/>
      <c r="I129" s="2"/>
      <c r="J129" s="2"/>
      <c r="K129" s="4"/>
      <c r="L129" s="2"/>
      <c r="M129" s="2"/>
      <c r="N129" s="2"/>
      <c r="O129" s="2"/>
      <c r="P129" s="2"/>
      <c r="Q129" s="2"/>
      <c r="R129" s="2"/>
      <c r="S129" s="2"/>
      <c r="T129" s="25"/>
      <c r="U129" s="25"/>
      <c r="V129" s="2"/>
      <c r="W129" s="2"/>
      <c r="X129" s="2"/>
      <c r="Y129" s="48"/>
      <c r="Z129" s="2"/>
      <c r="AA129" s="2"/>
      <c r="AB129" s="2"/>
      <c r="AC129" s="41"/>
      <c r="AD129" s="41"/>
      <c r="AE129" s="3"/>
    </row>
    <row r="130" spans="1:31" ht="15.75" x14ac:dyDescent="0.25">
      <c r="A130" s="43"/>
      <c r="B130" s="2"/>
      <c r="C130" s="2"/>
      <c r="D130" s="2"/>
      <c r="E130" s="2"/>
      <c r="F130" s="2"/>
      <c r="G130" s="4"/>
      <c r="H130" s="4"/>
      <c r="I130" s="2"/>
      <c r="J130" s="2"/>
      <c r="K130" s="4"/>
      <c r="L130" s="2"/>
      <c r="M130" s="2"/>
      <c r="N130" s="2"/>
      <c r="O130" s="2"/>
      <c r="P130" s="2"/>
      <c r="Q130" s="2"/>
      <c r="R130" s="2"/>
      <c r="S130" s="2"/>
      <c r="T130" s="25"/>
      <c r="U130" s="25"/>
      <c r="V130" s="2"/>
      <c r="W130" s="2"/>
      <c r="X130" s="2"/>
      <c r="Y130" s="48"/>
      <c r="Z130" s="2"/>
      <c r="AA130" s="2"/>
      <c r="AB130" s="2"/>
      <c r="AC130" s="41"/>
      <c r="AD130" s="41"/>
      <c r="AE130" s="3"/>
    </row>
    <row r="131" spans="1:31" ht="15.75" x14ac:dyDescent="0.25">
      <c r="A131" s="43"/>
      <c r="B131" s="291" t="s">
        <v>40</v>
      </c>
      <c r="C131" s="291"/>
      <c r="D131" s="291"/>
      <c r="E131" s="291"/>
      <c r="F131" s="291"/>
      <c r="G131" s="291"/>
      <c r="H131" s="291"/>
      <c r="I131" s="291"/>
      <c r="J131" s="291"/>
      <c r="K131" s="291"/>
      <c r="L131" s="291"/>
      <c r="M131" s="291"/>
      <c r="N131" s="291"/>
      <c r="O131" s="291"/>
      <c r="P131" s="291"/>
      <c r="Q131" s="291"/>
      <c r="R131" s="291"/>
      <c r="S131" s="291"/>
      <c r="T131" s="291"/>
      <c r="U131" s="291"/>
      <c r="V131" s="2"/>
      <c r="W131" s="291" t="s">
        <v>41</v>
      </c>
      <c r="X131" s="291"/>
      <c r="Y131" s="291"/>
      <c r="Z131" s="291"/>
      <c r="AA131" s="291" t="s">
        <v>42</v>
      </c>
      <c r="AB131" s="291"/>
      <c r="AC131" s="291"/>
      <c r="AD131" s="291"/>
      <c r="AE131" s="291"/>
    </row>
    <row r="132" spans="1:31" ht="15.75" x14ac:dyDescent="0.25">
      <c r="A132" s="43"/>
      <c r="B132" s="2"/>
      <c r="C132" s="2"/>
      <c r="D132" s="2"/>
      <c r="E132" s="2"/>
      <c r="F132" s="2"/>
      <c r="G132" s="4"/>
      <c r="H132" s="4"/>
      <c r="I132" s="2"/>
      <c r="J132" s="2"/>
      <c r="K132" s="4"/>
      <c r="L132" s="2"/>
      <c r="M132" s="2"/>
      <c r="N132" s="2"/>
      <c r="O132" s="2"/>
      <c r="P132" s="2"/>
      <c r="Q132" s="2"/>
      <c r="R132" s="2"/>
      <c r="S132" s="2"/>
      <c r="T132" s="25"/>
      <c r="U132" s="25"/>
      <c r="V132" s="2"/>
      <c r="W132" s="6"/>
      <c r="X132" s="33"/>
      <c r="Y132" s="2"/>
      <c r="Z132" s="2"/>
      <c r="AA132" s="2"/>
      <c r="AB132" s="2"/>
      <c r="AC132" s="2"/>
      <c r="AD132" s="2"/>
      <c r="AE132" s="2"/>
    </row>
  </sheetData>
  <mergeCells count="20">
    <mergeCell ref="A5:AE5"/>
    <mergeCell ref="A1:U1"/>
    <mergeCell ref="AA1:AE1"/>
    <mergeCell ref="A2:U2"/>
    <mergeCell ref="AA2:AE2"/>
    <mergeCell ref="A3:U3"/>
    <mergeCell ref="B131:U131"/>
    <mergeCell ref="W131:Z131"/>
    <mergeCell ref="AA131:AE131"/>
    <mergeCell ref="A7:A8"/>
    <mergeCell ref="B7:B8"/>
    <mergeCell ref="C7:K7"/>
    <mergeCell ref="L7:T7"/>
    <mergeCell ref="U7:U8"/>
    <mergeCell ref="V7:AD7"/>
    <mergeCell ref="AE7:AE8"/>
    <mergeCell ref="AA125:AE125"/>
    <mergeCell ref="B126:U126"/>
    <mergeCell ref="W126:Z126"/>
    <mergeCell ref="AA126:AE126"/>
  </mergeCells>
  <pageMargins left="0.39370078740157483" right="0.27559055118110237" top="0.55118110236220474" bottom="0.47244094488188981" header="0.31496062992125984" footer="0.31496062992125984"/>
  <pageSetup paperSize="9" orientation="landscape" r:id="rId1"/>
  <headerFooter>
    <oddFooter>&amp;C&amp;10&amp;P/&amp;N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topLeftCell="A3" workbookViewId="0">
      <pane ySplit="6" topLeftCell="A18" activePane="bottomLeft" state="frozen"/>
      <selection activeCell="A3" sqref="A3"/>
      <selection pane="bottomLeft" activeCell="B19" sqref="B19"/>
    </sheetView>
  </sheetViews>
  <sheetFormatPr defaultRowHeight="15" x14ac:dyDescent="0.25"/>
  <cols>
    <col min="1" max="1" width="4.5703125" style="1" customWidth="1"/>
    <col min="2" max="2" width="24.85546875" style="1" customWidth="1"/>
    <col min="3" max="3" width="9.140625" style="1" hidden="1" customWidth="1"/>
    <col min="4" max="4" width="11" style="1" hidden="1" customWidth="1"/>
    <col min="5" max="5" width="10.28515625" style="1" hidden="1" customWidth="1"/>
    <col min="6" max="6" width="9.7109375" style="1" hidden="1" customWidth="1"/>
    <col min="7" max="7" width="12" style="1" hidden="1" customWidth="1"/>
    <col min="8" max="8" width="9.140625" style="1" hidden="1" customWidth="1"/>
    <col min="9" max="10" width="10.7109375" style="1" hidden="1" customWidth="1"/>
    <col min="11" max="11" width="15.42578125" style="1" hidden="1" customWidth="1"/>
    <col min="12" max="12" width="9.140625" style="1" hidden="1" customWidth="1"/>
    <col min="13" max="13" width="10" style="1" hidden="1" customWidth="1"/>
    <col min="14" max="14" width="9.5703125" style="1" hidden="1" customWidth="1"/>
    <col min="15" max="15" width="9.140625" style="1" hidden="1" customWidth="1"/>
    <col min="16" max="16" width="11.140625" style="1" hidden="1" customWidth="1"/>
    <col min="17" max="17" width="9.140625" style="1" hidden="1" customWidth="1"/>
    <col min="18" max="18" width="11.5703125" style="1" hidden="1" customWidth="1"/>
    <col min="19" max="19" width="12.28515625" style="1" hidden="1" customWidth="1"/>
    <col min="20" max="20" width="14.140625" style="1" hidden="1" customWidth="1"/>
    <col min="21" max="21" width="11.5703125" style="1" customWidth="1"/>
    <col min="22" max="22" width="9.42578125" style="1" customWidth="1"/>
    <col min="23" max="23" width="8.42578125" style="1" customWidth="1"/>
    <col min="24" max="24" width="9" style="1" customWidth="1"/>
    <col min="25" max="25" width="10" style="1" customWidth="1"/>
    <col min="26" max="26" width="7.7109375" style="1" customWidth="1"/>
    <col min="27" max="27" width="8.5703125" style="1" customWidth="1"/>
    <col min="28" max="28" width="8.42578125" style="1" customWidth="1"/>
    <col min="29" max="29" width="10.42578125" style="1" customWidth="1"/>
    <col min="30" max="30" width="13" style="1" customWidth="1"/>
    <col min="31" max="31" width="12.1406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357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1490000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353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55.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226</v>
      </c>
      <c r="AE9" s="27" t="s">
        <v>27</v>
      </c>
    </row>
    <row r="10" spans="1:31" ht="30.75" customHeight="1" x14ac:dyDescent="0.25">
      <c r="A10" s="34" t="s">
        <v>28</v>
      </c>
      <c r="B10" s="32"/>
      <c r="C10" s="31"/>
      <c r="D10" s="49">
        <f>D11+D25</f>
        <v>84.210000000000008</v>
      </c>
      <c r="E10" s="50">
        <f t="shared" ref="E10:AD10" si="0">E11+E25</f>
        <v>2.8884000000000003</v>
      </c>
      <c r="F10" s="49">
        <f t="shared" si="0"/>
        <v>3.1</v>
      </c>
      <c r="G10" s="50">
        <f t="shared" si="0"/>
        <v>17.549999999999997</v>
      </c>
      <c r="H10" s="49">
        <f t="shared" si="0"/>
        <v>0</v>
      </c>
      <c r="I10" s="50">
        <f t="shared" si="0"/>
        <v>21.217300000000002</v>
      </c>
      <c r="J10" s="50">
        <f t="shared" si="0"/>
        <v>128.9657</v>
      </c>
      <c r="K10" s="62">
        <f t="shared" si="0"/>
        <v>192158893</v>
      </c>
      <c r="L10" s="49">
        <f t="shared" si="0"/>
        <v>0</v>
      </c>
      <c r="M10" s="49">
        <f t="shared" si="0"/>
        <v>84.210000000000008</v>
      </c>
      <c r="N10" s="50">
        <f t="shared" si="0"/>
        <v>2.8884000000000003</v>
      </c>
      <c r="O10" s="49">
        <f t="shared" si="0"/>
        <v>3.2</v>
      </c>
      <c r="P10" s="50">
        <f t="shared" si="0"/>
        <v>18.398700000000002</v>
      </c>
      <c r="Q10" s="49">
        <f t="shared" si="0"/>
        <v>0</v>
      </c>
      <c r="R10" s="50">
        <f t="shared" si="0"/>
        <v>21.217300000000002</v>
      </c>
      <c r="S10" s="50">
        <f t="shared" si="0"/>
        <v>129.91439999999997</v>
      </c>
      <c r="T10" s="62">
        <f t="shared" si="0"/>
        <v>193572456</v>
      </c>
      <c r="U10" s="49">
        <f t="shared" si="0"/>
        <v>0</v>
      </c>
      <c r="V10" s="49">
        <f t="shared" si="0"/>
        <v>0</v>
      </c>
      <c r="W10" s="49">
        <f t="shared" si="0"/>
        <v>0</v>
      </c>
      <c r="X10" s="49">
        <f t="shared" si="0"/>
        <v>0.10000000000000003</v>
      </c>
      <c r="Y10" s="50">
        <f t="shared" si="0"/>
        <v>0.84870000000000068</v>
      </c>
      <c r="Z10" s="49">
        <f t="shared" si="0"/>
        <v>0</v>
      </c>
      <c r="AA10" s="49">
        <f t="shared" si="0"/>
        <v>0</v>
      </c>
      <c r="AB10" s="49">
        <f t="shared" si="0"/>
        <v>0</v>
      </c>
      <c r="AC10" s="50">
        <f t="shared" si="0"/>
        <v>0.94870000000000076</v>
      </c>
      <c r="AD10" s="62">
        <f t="shared" si="0"/>
        <v>1413563.0000000009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>SUM(D12:D24)</f>
        <v>65.88000000000001</v>
      </c>
      <c r="E11" s="61">
        <f t="shared" ref="E11:AD11" si="1">SUM(E12:E24)</f>
        <v>2.8884000000000003</v>
      </c>
      <c r="F11" s="53">
        <f t="shared" si="1"/>
        <v>3.1</v>
      </c>
      <c r="G11" s="61">
        <f t="shared" si="1"/>
        <v>16.167299999999997</v>
      </c>
      <c r="H11" s="53">
        <f t="shared" si="1"/>
        <v>0</v>
      </c>
      <c r="I11" s="61">
        <f t="shared" si="1"/>
        <v>16.634800000000002</v>
      </c>
      <c r="J11" s="61">
        <f t="shared" si="1"/>
        <v>104.6705</v>
      </c>
      <c r="K11" s="272">
        <f t="shared" si="1"/>
        <v>155959045</v>
      </c>
      <c r="L11" s="53">
        <f t="shared" si="1"/>
        <v>0</v>
      </c>
      <c r="M11" s="53">
        <f t="shared" si="1"/>
        <v>65.88000000000001</v>
      </c>
      <c r="N11" s="61">
        <f t="shared" si="1"/>
        <v>2.8884000000000003</v>
      </c>
      <c r="O11" s="53">
        <f t="shared" si="1"/>
        <v>3.2</v>
      </c>
      <c r="P11" s="61">
        <f t="shared" si="1"/>
        <v>16.832700000000003</v>
      </c>
      <c r="Q11" s="53">
        <f t="shared" si="1"/>
        <v>0</v>
      </c>
      <c r="R11" s="61">
        <f t="shared" si="1"/>
        <v>16.634800000000002</v>
      </c>
      <c r="S11" s="61">
        <f t="shared" si="1"/>
        <v>105.43589999999998</v>
      </c>
      <c r="T11" s="272">
        <f t="shared" si="1"/>
        <v>157099491</v>
      </c>
      <c r="U11" s="53">
        <f t="shared" si="1"/>
        <v>0</v>
      </c>
      <c r="V11" s="53">
        <f t="shared" si="1"/>
        <v>0</v>
      </c>
      <c r="W11" s="53">
        <f t="shared" si="1"/>
        <v>0</v>
      </c>
      <c r="X11" s="53">
        <f t="shared" si="1"/>
        <v>0.10000000000000003</v>
      </c>
      <c r="Y11" s="61">
        <f t="shared" si="1"/>
        <v>0.66540000000000066</v>
      </c>
      <c r="Z11" s="53">
        <f t="shared" si="1"/>
        <v>0</v>
      </c>
      <c r="AA11" s="53">
        <f t="shared" si="1"/>
        <v>0</v>
      </c>
      <c r="AB11" s="53">
        <f t="shared" si="1"/>
        <v>0</v>
      </c>
      <c r="AC11" s="61">
        <f t="shared" si="1"/>
        <v>0.76540000000000075</v>
      </c>
      <c r="AD11" s="272">
        <f t="shared" si="1"/>
        <v>1140446.0000000009</v>
      </c>
      <c r="AE11" s="51"/>
    </row>
    <row r="12" spans="1:31" ht="39.75" customHeight="1" x14ac:dyDescent="0.25">
      <c r="A12" s="96">
        <v>1</v>
      </c>
      <c r="B12" s="97" t="s">
        <v>358</v>
      </c>
      <c r="C12" s="96"/>
      <c r="D12" s="98">
        <v>4.9800000000000004</v>
      </c>
      <c r="E12" s="99"/>
      <c r="F12" s="98">
        <v>0.7</v>
      </c>
      <c r="G12" s="99">
        <f>ROUND((D12+E12+F12)*17/100,4)</f>
        <v>0.96560000000000001</v>
      </c>
      <c r="H12" s="98"/>
      <c r="I12" s="99">
        <f>ROUND((D12+E12+F12)*25/100,4)</f>
        <v>1.42</v>
      </c>
      <c r="J12" s="99">
        <f>ROUND(SUM(D12:I12),4)</f>
        <v>8.0655999999999999</v>
      </c>
      <c r="K12" s="100">
        <f>ROUND(J12*$B$6,4)</f>
        <v>12017744</v>
      </c>
      <c r="L12" s="98"/>
      <c r="M12" s="98">
        <v>4.9800000000000004</v>
      </c>
      <c r="N12" s="99"/>
      <c r="O12" s="98">
        <v>0.7</v>
      </c>
      <c r="P12" s="99">
        <f>ROUND((M12+N12+O12)*18/100,4)</f>
        <v>1.0224</v>
      </c>
      <c r="Q12" s="98"/>
      <c r="R12" s="99">
        <f>ROUND((M12+N12+O12)*25/100,4)</f>
        <v>1.42</v>
      </c>
      <c r="S12" s="99">
        <f>ROUND(SUM(M12:R12),4)</f>
        <v>8.1224000000000007</v>
      </c>
      <c r="T12" s="100">
        <f>ROUND(S12*$B$6,0)</f>
        <v>12102376</v>
      </c>
      <c r="U12" s="141" t="s">
        <v>31</v>
      </c>
      <c r="V12" s="98">
        <f t="shared" ref="V12:Y24" si="2">M12-D12</f>
        <v>0</v>
      </c>
      <c r="W12" s="99">
        <f t="shared" si="2"/>
        <v>0</v>
      </c>
      <c r="X12" s="98">
        <f t="shared" si="2"/>
        <v>0</v>
      </c>
      <c r="Y12" s="99">
        <f t="shared" si="2"/>
        <v>5.6799999999999962E-2</v>
      </c>
      <c r="Z12" s="98"/>
      <c r="AA12" s="98"/>
      <c r="AB12" s="99">
        <f>R12-I12</f>
        <v>0</v>
      </c>
      <c r="AC12" s="99">
        <f>SUM(V12:AB12)</f>
        <v>5.6799999999999962E-2</v>
      </c>
      <c r="AD12" s="100">
        <f>AC12*$B$6</f>
        <v>84631.999999999942</v>
      </c>
      <c r="AE12" s="84" t="s">
        <v>359</v>
      </c>
    </row>
    <row r="13" spans="1:31" ht="39.75" customHeight="1" x14ac:dyDescent="0.25">
      <c r="A13" s="96">
        <v>2</v>
      </c>
      <c r="B13" s="97" t="s">
        <v>360</v>
      </c>
      <c r="C13" s="96"/>
      <c r="D13" s="98">
        <v>4.6500000000000004</v>
      </c>
      <c r="E13" s="99"/>
      <c r="F13" s="98"/>
      <c r="G13" s="99">
        <f>ROUND((D13+E13+F13)*19/100,4)</f>
        <v>0.88349999999999995</v>
      </c>
      <c r="H13" s="98"/>
      <c r="I13" s="99">
        <f t="shared" ref="I13:I23" si="3">ROUND((D13+E13+F13)*25/100,4)</f>
        <v>1.1625000000000001</v>
      </c>
      <c r="J13" s="99">
        <f t="shared" ref="J13:J24" si="4">ROUND(SUM(D13:I13),4)</f>
        <v>6.6959999999999997</v>
      </c>
      <c r="K13" s="100">
        <f t="shared" ref="K13:K24" si="5">ROUND(J13*$B$6,4)</f>
        <v>9977040</v>
      </c>
      <c r="L13" s="98"/>
      <c r="M13" s="98">
        <v>4.6500000000000004</v>
      </c>
      <c r="N13" s="99"/>
      <c r="O13" s="98"/>
      <c r="P13" s="99">
        <f>ROUND((M13+N13+O13)*20/100,4)</f>
        <v>0.93</v>
      </c>
      <c r="Q13" s="98"/>
      <c r="R13" s="99">
        <f t="shared" ref="R13:R23" si="6">ROUND((M13+N13+O13)*25/100,4)</f>
        <v>1.1625000000000001</v>
      </c>
      <c r="S13" s="99">
        <f t="shared" ref="S13:S24" si="7">ROUND(SUM(M13:R13),4)</f>
        <v>6.7424999999999997</v>
      </c>
      <c r="T13" s="100">
        <f t="shared" ref="T13:T24" si="8">ROUND(S13*$B$6,0)</f>
        <v>10046325</v>
      </c>
      <c r="U13" s="141" t="s">
        <v>31</v>
      </c>
      <c r="V13" s="98"/>
      <c r="W13" s="99"/>
      <c r="X13" s="98"/>
      <c r="Y13" s="99">
        <f t="shared" si="2"/>
        <v>4.6500000000000097E-2</v>
      </c>
      <c r="Z13" s="98"/>
      <c r="AA13" s="98"/>
      <c r="AB13" s="99"/>
      <c r="AC13" s="99">
        <f t="shared" ref="AC13:AC24" si="9">SUM(V13:AB13)</f>
        <v>4.6500000000000097E-2</v>
      </c>
      <c r="AD13" s="100">
        <f t="shared" ref="AD13:AD24" si="10">AC13*$B$6</f>
        <v>69285.000000000146</v>
      </c>
      <c r="AE13" s="84" t="s">
        <v>361</v>
      </c>
    </row>
    <row r="14" spans="1:31" ht="39.75" customHeight="1" x14ac:dyDescent="0.25">
      <c r="A14" s="96">
        <v>3</v>
      </c>
      <c r="B14" s="97" t="s">
        <v>360</v>
      </c>
      <c r="C14" s="96"/>
      <c r="D14" s="98">
        <v>4.9800000000000004</v>
      </c>
      <c r="E14" s="99">
        <f>D14*12/100</f>
        <v>0.59760000000000002</v>
      </c>
      <c r="F14" s="98"/>
      <c r="G14" s="99">
        <f>ROUND((D14+E14+F14)*29/100,4)</f>
        <v>1.6174999999999999</v>
      </c>
      <c r="H14" s="98"/>
      <c r="I14" s="99">
        <f t="shared" si="3"/>
        <v>1.3944000000000001</v>
      </c>
      <c r="J14" s="99">
        <f t="shared" si="4"/>
        <v>8.5894999999999992</v>
      </c>
      <c r="K14" s="100">
        <f t="shared" si="5"/>
        <v>12798355</v>
      </c>
      <c r="L14" s="98"/>
      <c r="M14" s="98">
        <v>4.9800000000000004</v>
      </c>
      <c r="N14" s="99">
        <f>M14*12/100</f>
        <v>0.59760000000000002</v>
      </c>
      <c r="O14" s="98"/>
      <c r="P14" s="99">
        <f>ROUND((M14+N14+O14)*30/100,4)</f>
        <v>1.6733</v>
      </c>
      <c r="Q14" s="98"/>
      <c r="R14" s="99">
        <f t="shared" si="6"/>
        <v>1.3944000000000001</v>
      </c>
      <c r="S14" s="99">
        <f t="shared" si="7"/>
        <v>8.6453000000000007</v>
      </c>
      <c r="T14" s="100">
        <f t="shared" si="8"/>
        <v>12881497</v>
      </c>
      <c r="U14" s="141" t="s">
        <v>31</v>
      </c>
      <c r="V14" s="98"/>
      <c r="W14" s="99"/>
      <c r="X14" s="98"/>
      <c r="Y14" s="99">
        <f t="shared" si="2"/>
        <v>5.5800000000000072E-2</v>
      </c>
      <c r="Z14" s="98"/>
      <c r="AA14" s="98"/>
      <c r="AB14" s="99"/>
      <c r="AC14" s="99">
        <f t="shared" si="9"/>
        <v>5.5800000000000072E-2</v>
      </c>
      <c r="AD14" s="100">
        <f t="shared" si="10"/>
        <v>83142.000000000102</v>
      </c>
      <c r="AE14" s="84" t="s">
        <v>362</v>
      </c>
    </row>
    <row r="15" spans="1:31" ht="39.75" customHeight="1" x14ac:dyDescent="0.25">
      <c r="A15" s="96">
        <v>4</v>
      </c>
      <c r="B15" s="97" t="s">
        <v>98</v>
      </c>
      <c r="C15" s="96"/>
      <c r="D15" s="98">
        <v>4.9800000000000004</v>
      </c>
      <c r="E15" s="99">
        <f>D15*7/100</f>
        <v>0.34860000000000002</v>
      </c>
      <c r="F15" s="98"/>
      <c r="G15" s="99">
        <f>ROUND((D15+E15+F15)*27/100,4)</f>
        <v>1.4387000000000001</v>
      </c>
      <c r="H15" s="98"/>
      <c r="I15" s="99">
        <f t="shared" si="3"/>
        <v>1.3322000000000001</v>
      </c>
      <c r="J15" s="99">
        <f t="shared" si="4"/>
        <v>8.0995000000000008</v>
      </c>
      <c r="K15" s="100">
        <f t="shared" si="5"/>
        <v>12068255</v>
      </c>
      <c r="L15" s="98"/>
      <c r="M15" s="98">
        <v>4.9800000000000004</v>
      </c>
      <c r="N15" s="99">
        <f>M15*7/100</f>
        <v>0.34860000000000002</v>
      </c>
      <c r="O15" s="98"/>
      <c r="P15" s="99">
        <f>ROUND((M15+N15+O15)*28/100,4)</f>
        <v>1.492</v>
      </c>
      <c r="Q15" s="98"/>
      <c r="R15" s="99">
        <f t="shared" si="6"/>
        <v>1.3322000000000001</v>
      </c>
      <c r="S15" s="99">
        <f t="shared" si="7"/>
        <v>8.1527999999999992</v>
      </c>
      <c r="T15" s="100">
        <f t="shared" si="8"/>
        <v>12147672</v>
      </c>
      <c r="U15" s="141" t="s">
        <v>31</v>
      </c>
      <c r="V15" s="98"/>
      <c r="W15" s="99"/>
      <c r="X15" s="98"/>
      <c r="Y15" s="99">
        <f t="shared" si="2"/>
        <v>5.3299999999999903E-2</v>
      </c>
      <c r="Z15" s="98"/>
      <c r="AA15" s="98"/>
      <c r="AB15" s="99"/>
      <c r="AC15" s="99">
        <f t="shared" si="9"/>
        <v>5.3299999999999903E-2</v>
      </c>
      <c r="AD15" s="100">
        <f t="shared" si="10"/>
        <v>79416.999999999854</v>
      </c>
      <c r="AE15" s="84" t="s">
        <v>363</v>
      </c>
    </row>
    <row r="16" spans="1:31" ht="39.75" customHeight="1" x14ac:dyDescent="0.25">
      <c r="A16" s="96">
        <v>5</v>
      </c>
      <c r="B16" s="97" t="s">
        <v>364</v>
      </c>
      <c r="C16" s="96"/>
      <c r="D16" s="98">
        <v>4.6500000000000004</v>
      </c>
      <c r="E16" s="99"/>
      <c r="F16" s="98"/>
      <c r="G16" s="99">
        <f>ROUND((D16+E16+F16)*17/100,4)</f>
        <v>0.79049999999999998</v>
      </c>
      <c r="H16" s="98"/>
      <c r="I16" s="99">
        <f t="shared" si="3"/>
        <v>1.1625000000000001</v>
      </c>
      <c r="J16" s="99">
        <f t="shared" si="4"/>
        <v>6.6029999999999998</v>
      </c>
      <c r="K16" s="100">
        <f t="shared" si="5"/>
        <v>9838470</v>
      </c>
      <c r="L16" s="98"/>
      <c r="M16" s="98">
        <v>4.6500000000000004</v>
      </c>
      <c r="N16" s="99"/>
      <c r="O16" s="98"/>
      <c r="P16" s="99">
        <f>ROUND((M16+N16+O16)*18/100,4)</f>
        <v>0.83699999999999997</v>
      </c>
      <c r="Q16" s="98"/>
      <c r="R16" s="99">
        <f t="shared" si="6"/>
        <v>1.1625000000000001</v>
      </c>
      <c r="S16" s="99">
        <f t="shared" si="7"/>
        <v>6.6494999999999997</v>
      </c>
      <c r="T16" s="100">
        <f t="shared" si="8"/>
        <v>9907755</v>
      </c>
      <c r="U16" s="141" t="s">
        <v>31</v>
      </c>
      <c r="V16" s="98"/>
      <c r="W16" s="99"/>
      <c r="X16" s="98"/>
      <c r="Y16" s="99">
        <f t="shared" si="2"/>
        <v>4.6499999999999986E-2</v>
      </c>
      <c r="Z16" s="98"/>
      <c r="AA16" s="98"/>
      <c r="AB16" s="99"/>
      <c r="AC16" s="99">
        <f t="shared" si="9"/>
        <v>4.6499999999999986E-2</v>
      </c>
      <c r="AD16" s="100">
        <f t="shared" si="10"/>
        <v>69284.999999999985</v>
      </c>
      <c r="AE16" s="84" t="s">
        <v>359</v>
      </c>
    </row>
    <row r="17" spans="1:31" ht="39.75" customHeight="1" x14ac:dyDescent="0.25">
      <c r="A17" s="96">
        <v>6</v>
      </c>
      <c r="B17" s="97" t="s">
        <v>365</v>
      </c>
      <c r="C17" s="96"/>
      <c r="D17" s="98">
        <v>4.9800000000000004</v>
      </c>
      <c r="E17" s="99">
        <f>D17*13/100</f>
        <v>0.64740000000000009</v>
      </c>
      <c r="F17" s="98"/>
      <c r="G17" s="99">
        <f>ROUND((D17+E17+F17)*29/100,4)</f>
        <v>1.6318999999999999</v>
      </c>
      <c r="H17" s="98"/>
      <c r="I17" s="99">
        <f t="shared" si="3"/>
        <v>1.4069</v>
      </c>
      <c r="J17" s="99">
        <f t="shared" si="4"/>
        <v>8.6661999999999999</v>
      </c>
      <c r="K17" s="100">
        <f t="shared" si="5"/>
        <v>12912638</v>
      </c>
      <c r="L17" s="98"/>
      <c r="M17" s="98">
        <v>4.9800000000000004</v>
      </c>
      <c r="N17" s="99">
        <f>M17*13/100</f>
        <v>0.64740000000000009</v>
      </c>
      <c r="O17" s="98"/>
      <c r="P17" s="99">
        <f>ROUND((M17+N17+O17)*30/100,4)</f>
        <v>1.6881999999999999</v>
      </c>
      <c r="Q17" s="98"/>
      <c r="R17" s="99">
        <f t="shared" si="6"/>
        <v>1.4069</v>
      </c>
      <c r="S17" s="99">
        <f t="shared" si="7"/>
        <v>8.7225000000000001</v>
      </c>
      <c r="T17" s="100">
        <f t="shared" si="8"/>
        <v>12996525</v>
      </c>
      <c r="U17" s="141" t="s">
        <v>31</v>
      </c>
      <c r="V17" s="98"/>
      <c r="W17" s="99"/>
      <c r="X17" s="98"/>
      <c r="Y17" s="99">
        <f t="shared" si="2"/>
        <v>5.6300000000000017E-2</v>
      </c>
      <c r="Z17" s="98"/>
      <c r="AA17" s="98"/>
      <c r="AB17" s="99"/>
      <c r="AC17" s="99">
        <f t="shared" si="9"/>
        <v>5.6300000000000017E-2</v>
      </c>
      <c r="AD17" s="100">
        <f t="shared" si="10"/>
        <v>83887.000000000029</v>
      </c>
      <c r="AE17" s="84" t="s">
        <v>362</v>
      </c>
    </row>
    <row r="18" spans="1:31" ht="39.75" customHeight="1" x14ac:dyDescent="0.25">
      <c r="A18" s="96">
        <v>7</v>
      </c>
      <c r="B18" s="97" t="s">
        <v>367</v>
      </c>
      <c r="C18" s="96"/>
      <c r="D18" s="98">
        <v>4.9800000000000004</v>
      </c>
      <c r="E18" s="99">
        <f>D18*10/100</f>
        <v>0.49800000000000005</v>
      </c>
      <c r="F18" s="98"/>
      <c r="G18" s="99">
        <f>ROUND((D18+E18+F18)*29/100,4)</f>
        <v>1.5886</v>
      </c>
      <c r="H18" s="98"/>
      <c r="I18" s="99">
        <f t="shared" si="3"/>
        <v>1.3694999999999999</v>
      </c>
      <c r="J18" s="99">
        <f t="shared" si="4"/>
        <v>8.4360999999999997</v>
      </c>
      <c r="K18" s="100">
        <f t="shared" si="5"/>
        <v>12569789</v>
      </c>
      <c r="L18" s="98"/>
      <c r="M18" s="98">
        <v>4.9800000000000004</v>
      </c>
      <c r="N18" s="99">
        <f>M18*10/100</f>
        <v>0.49800000000000005</v>
      </c>
      <c r="O18" s="98"/>
      <c r="P18" s="99">
        <f>ROUND((M18+N18+O18)*30/100,4)</f>
        <v>1.6434</v>
      </c>
      <c r="Q18" s="98"/>
      <c r="R18" s="99">
        <f t="shared" si="6"/>
        <v>1.3694999999999999</v>
      </c>
      <c r="S18" s="99">
        <f t="shared" si="7"/>
        <v>8.4908999999999999</v>
      </c>
      <c r="T18" s="100">
        <f t="shared" si="8"/>
        <v>12651441</v>
      </c>
      <c r="U18" s="141" t="s">
        <v>31</v>
      </c>
      <c r="V18" s="98"/>
      <c r="W18" s="99"/>
      <c r="X18" s="98"/>
      <c r="Y18" s="99">
        <f t="shared" si="2"/>
        <v>5.479999999999996E-2</v>
      </c>
      <c r="Z18" s="98"/>
      <c r="AA18" s="98"/>
      <c r="AB18" s="99"/>
      <c r="AC18" s="99">
        <f t="shared" si="9"/>
        <v>5.479999999999996E-2</v>
      </c>
      <c r="AD18" s="100">
        <f t="shared" si="10"/>
        <v>81651.999999999942</v>
      </c>
      <c r="AE18" s="84" t="s">
        <v>362</v>
      </c>
    </row>
    <row r="19" spans="1:31" ht="39.75" customHeight="1" x14ac:dyDescent="0.25">
      <c r="A19" s="96">
        <v>8</v>
      </c>
      <c r="B19" s="97" t="s">
        <v>368</v>
      </c>
      <c r="C19" s="96"/>
      <c r="D19" s="98">
        <v>4.9800000000000004</v>
      </c>
      <c r="E19" s="99">
        <f>D19*5/100</f>
        <v>0.24900000000000003</v>
      </c>
      <c r="F19" s="98">
        <v>0.45</v>
      </c>
      <c r="G19" s="99">
        <f>ROUND((D19+E19+F19)*20/100,4)</f>
        <v>1.1357999999999999</v>
      </c>
      <c r="H19" s="98"/>
      <c r="I19" s="99">
        <f t="shared" si="3"/>
        <v>1.4198</v>
      </c>
      <c r="J19" s="99">
        <f t="shared" si="4"/>
        <v>8.2346000000000004</v>
      </c>
      <c r="K19" s="100">
        <f t="shared" si="5"/>
        <v>12269554</v>
      </c>
      <c r="L19" s="98"/>
      <c r="M19" s="98">
        <v>4.9800000000000004</v>
      </c>
      <c r="N19" s="99">
        <f>M19*5/100</f>
        <v>0.24900000000000003</v>
      </c>
      <c r="O19" s="98">
        <v>0.45</v>
      </c>
      <c r="P19" s="99">
        <f>ROUND((M19+N19+O19)*21/100,4)</f>
        <v>1.1926000000000001</v>
      </c>
      <c r="Q19" s="98"/>
      <c r="R19" s="99">
        <f t="shared" si="6"/>
        <v>1.4198</v>
      </c>
      <c r="S19" s="99">
        <f t="shared" si="7"/>
        <v>8.2913999999999994</v>
      </c>
      <c r="T19" s="100">
        <f t="shared" si="8"/>
        <v>12354186</v>
      </c>
      <c r="U19" s="141" t="s">
        <v>31</v>
      </c>
      <c r="V19" s="98"/>
      <c r="W19" s="99"/>
      <c r="X19" s="98"/>
      <c r="Y19" s="99">
        <f t="shared" si="2"/>
        <v>5.6800000000000184E-2</v>
      </c>
      <c r="Z19" s="98"/>
      <c r="AA19" s="98"/>
      <c r="AB19" s="99"/>
      <c r="AC19" s="99">
        <f t="shared" si="9"/>
        <v>5.6800000000000184E-2</v>
      </c>
      <c r="AD19" s="100">
        <f t="shared" si="10"/>
        <v>84632.000000000276</v>
      </c>
      <c r="AE19" s="84" t="s">
        <v>369</v>
      </c>
    </row>
    <row r="20" spans="1:31" ht="39.75" customHeight="1" x14ac:dyDescent="0.25">
      <c r="A20" s="96">
        <v>9</v>
      </c>
      <c r="B20" s="97" t="s">
        <v>371</v>
      </c>
      <c r="C20" s="96"/>
      <c r="D20" s="98">
        <v>4.32</v>
      </c>
      <c r="E20" s="99"/>
      <c r="F20" s="98">
        <v>0.45</v>
      </c>
      <c r="G20" s="99">
        <f>ROUND((D20+E20+F20)*12/100,4)</f>
        <v>0.57240000000000002</v>
      </c>
      <c r="H20" s="98"/>
      <c r="I20" s="99">
        <f t="shared" si="3"/>
        <v>1.1924999999999999</v>
      </c>
      <c r="J20" s="99">
        <f t="shared" si="4"/>
        <v>6.5349000000000004</v>
      </c>
      <c r="K20" s="100">
        <f t="shared" si="5"/>
        <v>9737001</v>
      </c>
      <c r="L20" s="98"/>
      <c r="M20" s="98">
        <v>4.32</v>
      </c>
      <c r="N20" s="99"/>
      <c r="O20" s="98">
        <v>0.45</v>
      </c>
      <c r="P20" s="99">
        <f>ROUND((M20+N20+O20)*13/100,4)</f>
        <v>0.62009999999999998</v>
      </c>
      <c r="Q20" s="98"/>
      <c r="R20" s="99">
        <f t="shared" si="6"/>
        <v>1.1924999999999999</v>
      </c>
      <c r="S20" s="99">
        <f t="shared" si="7"/>
        <v>6.5826000000000002</v>
      </c>
      <c r="T20" s="100">
        <f t="shared" si="8"/>
        <v>9808074</v>
      </c>
      <c r="U20" s="141" t="s">
        <v>31</v>
      </c>
      <c r="V20" s="98"/>
      <c r="W20" s="99"/>
      <c r="X20" s="98"/>
      <c r="Y20" s="99">
        <f t="shared" si="2"/>
        <v>4.7699999999999965E-2</v>
      </c>
      <c r="Z20" s="98"/>
      <c r="AA20" s="98"/>
      <c r="AB20" s="99"/>
      <c r="AC20" s="99">
        <f t="shared" si="9"/>
        <v>4.7699999999999965E-2</v>
      </c>
      <c r="AD20" s="100">
        <f t="shared" si="10"/>
        <v>71072.999999999942</v>
      </c>
      <c r="AE20" s="84" t="s">
        <v>372</v>
      </c>
    </row>
    <row r="21" spans="1:31" ht="39.75" customHeight="1" x14ac:dyDescent="0.25">
      <c r="A21" s="96">
        <v>10</v>
      </c>
      <c r="B21" s="97" t="s">
        <v>373</v>
      </c>
      <c r="C21" s="96"/>
      <c r="D21" s="98">
        <v>4.9800000000000004</v>
      </c>
      <c r="E21" s="99">
        <f>D21*11/100</f>
        <v>0.54780000000000006</v>
      </c>
      <c r="F21" s="98">
        <v>0.35</v>
      </c>
      <c r="G21" s="99">
        <f>ROUND((D21+E21+F21)*29/100,4)</f>
        <v>1.7045999999999999</v>
      </c>
      <c r="H21" s="98"/>
      <c r="I21" s="99">
        <f t="shared" si="3"/>
        <v>1.4695</v>
      </c>
      <c r="J21" s="99">
        <f t="shared" si="4"/>
        <v>9.0518999999999998</v>
      </c>
      <c r="K21" s="100">
        <f t="shared" si="5"/>
        <v>13487331</v>
      </c>
      <c r="L21" s="98"/>
      <c r="M21" s="98">
        <v>4.9800000000000004</v>
      </c>
      <c r="N21" s="99">
        <f>M21*11/100</f>
        <v>0.54780000000000006</v>
      </c>
      <c r="O21" s="98">
        <v>0.35</v>
      </c>
      <c r="P21" s="99">
        <f>ROUND((M21+N21+O21)*30/100,4)</f>
        <v>1.7633000000000001</v>
      </c>
      <c r="Q21" s="98"/>
      <c r="R21" s="99">
        <f t="shared" si="6"/>
        <v>1.4695</v>
      </c>
      <c r="S21" s="99">
        <f t="shared" si="7"/>
        <v>9.1105999999999998</v>
      </c>
      <c r="T21" s="100">
        <f t="shared" si="8"/>
        <v>13574794</v>
      </c>
      <c r="U21" s="141" t="s">
        <v>31</v>
      </c>
      <c r="V21" s="98"/>
      <c r="W21" s="99"/>
      <c r="X21" s="98"/>
      <c r="Y21" s="99">
        <f t="shared" si="2"/>
        <v>5.8700000000000196E-2</v>
      </c>
      <c r="Z21" s="98"/>
      <c r="AA21" s="98"/>
      <c r="AB21" s="99"/>
      <c r="AC21" s="99">
        <f t="shared" si="9"/>
        <v>5.8700000000000196E-2</v>
      </c>
      <c r="AD21" s="100">
        <f t="shared" si="10"/>
        <v>87463.000000000291</v>
      </c>
      <c r="AE21" s="84" t="s">
        <v>362</v>
      </c>
    </row>
    <row r="22" spans="1:31" ht="39.75" customHeight="1" x14ac:dyDescent="0.25">
      <c r="A22" s="96">
        <v>11</v>
      </c>
      <c r="B22" s="97" t="s">
        <v>94</v>
      </c>
      <c r="C22" s="96"/>
      <c r="D22" s="98">
        <v>6.38</v>
      </c>
      <c r="E22" s="99"/>
      <c r="F22" s="98">
        <v>0.45</v>
      </c>
      <c r="G22" s="99">
        <f>ROUND((D22+E22+F22)*30/100,4)</f>
        <v>2.0489999999999999</v>
      </c>
      <c r="H22" s="98"/>
      <c r="I22" s="99">
        <f t="shared" si="3"/>
        <v>1.7075</v>
      </c>
      <c r="J22" s="99">
        <f t="shared" si="4"/>
        <v>10.586499999999999</v>
      </c>
      <c r="K22" s="100">
        <f t="shared" si="5"/>
        <v>15773885</v>
      </c>
      <c r="L22" s="98"/>
      <c r="M22" s="98">
        <v>6.38</v>
      </c>
      <c r="N22" s="99"/>
      <c r="O22" s="98">
        <v>0.45</v>
      </c>
      <c r="P22" s="99">
        <f>ROUND((M22+N22+O22)*31/100,4)</f>
        <v>2.1173000000000002</v>
      </c>
      <c r="Q22" s="98"/>
      <c r="R22" s="99">
        <f t="shared" si="6"/>
        <v>1.7075</v>
      </c>
      <c r="S22" s="99">
        <f t="shared" si="7"/>
        <v>10.6548</v>
      </c>
      <c r="T22" s="100">
        <f t="shared" si="8"/>
        <v>15875652</v>
      </c>
      <c r="U22" s="141" t="s">
        <v>31</v>
      </c>
      <c r="V22" s="98"/>
      <c r="W22" s="99"/>
      <c r="X22" s="98"/>
      <c r="Y22" s="99">
        <f t="shared" si="2"/>
        <v>6.8300000000000249E-2</v>
      </c>
      <c r="Z22" s="98"/>
      <c r="AA22" s="98"/>
      <c r="AB22" s="99"/>
      <c r="AC22" s="99">
        <f t="shared" si="9"/>
        <v>6.8300000000000249E-2</v>
      </c>
      <c r="AD22" s="100">
        <f t="shared" si="10"/>
        <v>101767.00000000038</v>
      </c>
      <c r="AE22" s="84" t="s">
        <v>374</v>
      </c>
    </row>
    <row r="23" spans="1:31" ht="39.75" customHeight="1" x14ac:dyDescent="0.25">
      <c r="A23" s="96">
        <v>12</v>
      </c>
      <c r="B23" s="97" t="s">
        <v>377</v>
      </c>
      <c r="C23" s="96"/>
      <c r="D23" s="98">
        <v>6.04</v>
      </c>
      <c r="E23" s="99"/>
      <c r="F23" s="98">
        <v>0.35</v>
      </c>
      <c r="G23" s="99">
        <f>ROUND((D23+E23+F23)*28/100,4)</f>
        <v>1.7891999999999999</v>
      </c>
      <c r="H23" s="98"/>
      <c r="I23" s="99">
        <f t="shared" si="3"/>
        <v>1.5974999999999999</v>
      </c>
      <c r="J23" s="99">
        <f t="shared" si="4"/>
        <v>9.7766999999999999</v>
      </c>
      <c r="K23" s="100">
        <f t="shared" si="5"/>
        <v>14567283</v>
      </c>
      <c r="L23" s="98"/>
      <c r="M23" s="98">
        <v>6.04</v>
      </c>
      <c r="N23" s="99"/>
      <c r="O23" s="98">
        <v>0.35</v>
      </c>
      <c r="P23" s="99">
        <f>ROUND((M23+N23+O23)*29/100,4)</f>
        <v>1.8531</v>
      </c>
      <c r="Q23" s="98"/>
      <c r="R23" s="99">
        <f t="shared" si="6"/>
        <v>1.5974999999999999</v>
      </c>
      <c r="S23" s="99">
        <f t="shared" si="7"/>
        <v>9.8406000000000002</v>
      </c>
      <c r="T23" s="100">
        <f t="shared" si="8"/>
        <v>14662494</v>
      </c>
      <c r="U23" s="141" t="s">
        <v>31</v>
      </c>
      <c r="V23" s="98"/>
      <c r="W23" s="99"/>
      <c r="X23" s="98"/>
      <c r="Y23" s="99">
        <f t="shared" si="2"/>
        <v>6.3900000000000068E-2</v>
      </c>
      <c r="Z23" s="98"/>
      <c r="AA23" s="98"/>
      <c r="AB23" s="99"/>
      <c r="AC23" s="99">
        <f t="shared" si="9"/>
        <v>6.3900000000000068E-2</v>
      </c>
      <c r="AD23" s="100">
        <f t="shared" si="10"/>
        <v>95211.000000000102</v>
      </c>
      <c r="AE23" s="84" t="s">
        <v>378</v>
      </c>
    </row>
    <row r="24" spans="1:31" ht="39.75" customHeight="1" x14ac:dyDescent="0.25">
      <c r="A24" s="96">
        <v>13</v>
      </c>
      <c r="B24" s="97" t="s">
        <v>95</v>
      </c>
      <c r="C24" s="96"/>
      <c r="D24" s="98">
        <v>4.9800000000000004</v>
      </c>
      <c r="E24" s="99"/>
      <c r="F24" s="98">
        <v>0.35</v>
      </c>
      <c r="G24" s="99"/>
      <c r="H24" s="98"/>
      <c r="I24" s="99"/>
      <c r="J24" s="99">
        <f t="shared" si="4"/>
        <v>5.33</v>
      </c>
      <c r="K24" s="100">
        <f t="shared" si="5"/>
        <v>7941700</v>
      </c>
      <c r="L24" s="98"/>
      <c r="M24" s="98">
        <v>4.9800000000000004</v>
      </c>
      <c r="N24" s="99"/>
      <c r="O24" s="98">
        <v>0.45</v>
      </c>
      <c r="P24" s="99"/>
      <c r="Q24" s="98"/>
      <c r="R24" s="99"/>
      <c r="S24" s="99">
        <f t="shared" si="7"/>
        <v>5.43</v>
      </c>
      <c r="T24" s="100">
        <f t="shared" si="8"/>
        <v>8090700</v>
      </c>
      <c r="U24" s="141" t="s">
        <v>80</v>
      </c>
      <c r="V24" s="98"/>
      <c r="W24" s="99"/>
      <c r="X24" s="98">
        <f>O24-F24</f>
        <v>0.10000000000000003</v>
      </c>
      <c r="Y24" s="99">
        <f t="shared" si="2"/>
        <v>0</v>
      </c>
      <c r="Z24" s="98"/>
      <c r="AA24" s="98"/>
      <c r="AB24" s="99"/>
      <c r="AC24" s="99">
        <f t="shared" si="9"/>
        <v>0.10000000000000003</v>
      </c>
      <c r="AD24" s="100">
        <f t="shared" si="10"/>
        <v>149000.00000000006</v>
      </c>
      <c r="AE24" s="84" t="s">
        <v>382</v>
      </c>
    </row>
    <row r="25" spans="1:31" ht="59.25" customHeight="1" x14ac:dyDescent="0.25">
      <c r="A25" s="102"/>
      <c r="B25" s="92" t="s">
        <v>33</v>
      </c>
      <c r="C25" s="69"/>
      <c r="D25" s="106">
        <f>SUM(D26:D31)</f>
        <v>18.329999999999998</v>
      </c>
      <c r="E25" s="106">
        <f t="shared" ref="E25:AD25" si="11">SUM(E26:E31)</f>
        <v>0</v>
      </c>
      <c r="F25" s="106">
        <f t="shared" si="11"/>
        <v>0</v>
      </c>
      <c r="G25" s="71">
        <f t="shared" si="11"/>
        <v>1.3827</v>
      </c>
      <c r="H25" s="106">
        <f t="shared" si="11"/>
        <v>0</v>
      </c>
      <c r="I25" s="71">
        <f t="shared" si="11"/>
        <v>4.5824999999999996</v>
      </c>
      <c r="J25" s="71">
        <f t="shared" si="11"/>
        <v>24.295199999999998</v>
      </c>
      <c r="K25" s="70">
        <f t="shared" si="11"/>
        <v>36199848</v>
      </c>
      <c r="L25" s="106">
        <f t="shared" si="11"/>
        <v>0</v>
      </c>
      <c r="M25" s="106">
        <f t="shared" si="11"/>
        <v>18.329999999999998</v>
      </c>
      <c r="N25" s="106">
        <f t="shared" si="11"/>
        <v>0</v>
      </c>
      <c r="O25" s="106">
        <f t="shared" si="11"/>
        <v>0</v>
      </c>
      <c r="P25" s="71">
        <f t="shared" si="11"/>
        <v>1.5659999999999998</v>
      </c>
      <c r="Q25" s="106">
        <f t="shared" si="11"/>
        <v>0</v>
      </c>
      <c r="R25" s="71">
        <f t="shared" si="11"/>
        <v>4.5824999999999996</v>
      </c>
      <c r="S25" s="71">
        <f t="shared" si="11"/>
        <v>24.4785</v>
      </c>
      <c r="T25" s="70">
        <f t="shared" si="11"/>
        <v>36472965</v>
      </c>
      <c r="U25" s="106">
        <f t="shared" si="11"/>
        <v>0</v>
      </c>
      <c r="V25" s="106">
        <f t="shared" si="11"/>
        <v>0</v>
      </c>
      <c r="W25" s="106">
        <f t="shared" si="11"/>
        <v>0</v>
      </c>
      <c r="X25" s="106">
        <f t="shared" si="11"/>
        <v>0</v>
      </c>
      <c r="Y25" s="71">
        <f t="shared" si="11"/>
        <v>0.18329999999999999</v>
      </c>
      <c r="Z25" s="106">
        <f t="shared" si="11"/>
        <v>0</v>
      </c>
      <c r="AA25" s="106">
        <f t="shared" si="11"/>
        <v>0</v>
      </c>
      <c r="AB25" s="106">
        <f t="shared" si="11"/>
        <v>0</v>
      </c>
      <c r="AC25" s="71">
        <f t="shared" si="11"/>
        <v>0.18329999999999999</v>
      </c>
      <c r="AD25" s="70">
        <f t="shared" si="11"/>
        <v>273117</v>
      </c>
      <c r="AE25" s="106">
        <v>0</v>
      </c>
    </row>
    <row r="26" spans="1:31" ht="36.75" customHeight="1" x14ac:dyDescent="0.25">
      <c r="A26" s="96">
        <v>1</v>
      </c>
      <c r="B26" s="77" t="s">
        <v>213</v>
      </c>
      <c r="C26" s="79"/>
      <c r="D26" s="35">
        <v>2.67</v>
      </c>
      <c r="E26" s="80"/>
      <c r="F26" s="80"/>
      <c r="G26" s="80">
        <f>ROUND((D26+E26+F26)*5/100,4)</f>
        <v>0.13350000000000001</v>
      </c>
      <c r="H26" s="81"/>
      <c r="I26" s="80">
        <f>ROUND((D26+E26+F26)*25/100,4)</f>
        <v>0.66749999999999998</v>
      </c>
      <c r="J26" s="80">
        <f>ROUND(SUM(D26:I26),4)</f>
        <v>3.4710000000000001</v>
      </c>
      <c r="K26" s="76">
        <f>ROUND(J26*$B$6,0)</f>
        <v>5171790</v>
      </c>
      <c r="L26" s="82"/>
      <c r="M26" s="88">
        <v>2.67</v>
      </c>
      <c r="N26" s="80"/>
      <c r="O26" s="80"/>
      <c r="P26" s="80">
        <f>ROUND((M26+N26+O26)*6/100,4)</f>
        <v>0.16020000000000001</v>
      </c>
      <c r="Q26" s="81"/>
      <c r="R26" s="80">
        <f>ROUND((M26+N26+O26)*25/100,4)</f>
        <v>0.66749999999999998</v>
      </c>
      <c r="S26" s="64">
        <f>ROUND(SUM(M26:R26),4)</f>
        <v>3.4977</v>
      </c>
      <c r="T26" s="83">
        <f>ROUND(S26*$B$6,0)</f>
        <v>5211573</v>
      </c>
      <c r="U26" s="60" t="s">
        <v>34</v>
      </c>
      <c r="V26" s="85">
        <f t="shared" ref="V26:V30" si="12">M26-D26</f>
        <v>0</v>
      </c>
      <c r="W26" s="85"/>
      <c r="X26" s="85">
        <f>O26-F26</f>
        <v>0</v>
      </c>
      <c r="Y26" s="85">
        <f>P26-G26</f>
        <v>2.6700000000000002E-2</v>
      </c>
      <c r="Z26" s="85"/>
      <c r="AA26" s="85"/>
      <c r="AB26" s="85">
        <f>R26-I26</f>
        <v>0</v>
      </c>
      <c r="AC26" s="85">
        <f>SUM(V26:AB26)</f>
        <v>2.6700000000000002E-2</v>
      </c>
      <c r="AD26" s="86">
        <f>AC26*$B$6</f>
        <v>39783</v>
      </c>
      <c r="AE26" s="84" t="s">
        <v>366</v>
      </c>
    </row>
    <row r="27" spans="1:31" ht="35.25" customHeight="1" x14ac:dyDescent="0.25">
      <c r="A27" s="96">
        <v>2</v>
      </c>
      <c r="B27" s="77" t="s">
        <v>370</v>
      </c>
      <c r="C27" s="79"/>
      <c r="D27" s="35">
        <v>2.67</v>
      </c>
      <c r="E27" s="80"/>
      <c r="F27" s="80"/>
      <c r="G27" s="80">
        <f>ROUND((D27+E27+F27)*5/100,4)</f>
        <v>0.13350000000000001</v>
      </c>
      <c r="H27" s="81"/>
      <c r="I27" s="80">
        <f t="shared" ref="I27:I31" si="13">ROUND((D27+E27+F27)*25/100,4)</f>
        <v>0.66749999999999998</v>
      </c>
      <c r="J27" s="80">
        <f t="shared" ref="J27:J31" si="14">ROUND(SUM(D27:I27),4)</f>
        <v>3.4710000000000001</v>
      </c>
      <c r="K27" s="76">
        <f t="shared" ref="K27:K31" si="15">ROUND(J27*$B$6,0)</f>
        <v>5171790</v>
      </c>
      <c r="L27" s="82"/>
      <c r="M27" s="88">
        <v>2.67</v>
      </c>
      <c r="N27" s="80"/>
      <c r="O27" s="80"/>
      <c r="P27" s="80">
        <f>ROUND((M27+N27+O27)*6/100,4)</f>
        <v>0.16020000000000001</v>
      </c>
      <c r="Q27" s="81"/>
      <c r="R27" s="80">
        <f t="shared" ref="R27:R31" si="16">ROUND((M27+N27+O27)*25/100,4)</f>
        <v>0.66749999999999998</v>
      </c>
      <c r="S27" s="64">
        <f t="shared" ref="S27:S31" si="17">ROUND(SUM(M27:R27),4)</f>
        <v>3.4977</v>
      </c>
      <c r="T27" s="83">
        <f t="shared" ref="T27:T31" si="18">ROUND(S27*$B$6,0)</f>
        <v>5211573</v>
      </c>
      <c r="U27" s="60" t="s">
        <v>34</v>
      </c>
      <c r="V27" s="85">
        <f t="shared" si="12"/>
        <v>0</v>
      </c>
      <c r="W27" s="85">
        <f>N27-E27</f>
        <v>0</v>
      </c>
      <c r="X27" s="85"/>
      <c r="Y27" s="85">
        <f t="shared" ref="Y27:Y31" si="19">P27-G27</f>
        <v>2.6700000000000002E-2</v>
      </c>
      <c r="Z27" s="85"/>
      <c r="AA27" s="85"/>
      <c r="AB27" s="85"/>
      <c r="AC27" s="85">
        <f t="shared" ref="AC27:AC31" si="20">SUM(V27:AB27)</f>
        <v>2.6700000000000002E-2</v>
      </c>
      <c r="AD27" s="86">
        <f t="shared" ref="AD27:AD31" si="21">AC27*$B$6</f>
        <v>39783</v>
      </c>
      <c r="AE27" s="84" t="s">
        <v>366</v>
      </c>
    </row>
    <row r="28" spans="1:31" ht="35.25" customHeight="1" x14ac:dyDescent="0.25">
      <c r="A28" s="96">
        <v>3</v>
      </c>
      <c r="B28" s="77" t="s">
        <v>375</v>
      </c>
      <c r="C28" s="79"/>
      <c r="D28" s="35">
        <v>3.33</v>
      </c>
      <c r="E28" s="80"/>
      <c r="F28" s="80"/>
      <c r="G28" s="80">
        <f>ROUND((D28+E28+F28)*11/100,4)</f>
        <v>0.36630000000000001</v>
      </c>
      <c r="H28" s="81"/>
      <c r="I28" s="80">
        <f t="shared" si="13"/>
        <v>0.83250000000000002</v>
      </c>
      <c r="J28" s="80">
        <f t="shared" si="14"/>
        <v>4.5288000000000004</v>
      </c>
      <c r="K28" s="76">
        <f t="shared" si="15"/>
        <v>6747912</v>
      </c>
      <c r="L28" s="82"/>
      <c r="M28" s="88">
        <v>3.33</v>
      </c>
      <c r="N28" s="80"/>
      <c r="O28" s="80"/>
      <c r="P28" s="80">
        <f>ROUND((M28+N28+O28)*12/100,4)</f>
        <v>0.39960000000000001</v>
      </c>
      <c r="Q28" s="81"/>
      <c r="R28" s="80">
        <f t="shared" si="16"/>
        <v>0.83250000000000002</v>
      </c>
      <c r="S28" s="64">
        <f t="shared" si="17"/>
        <v>4.5621</v>
      </c>
      <c r="T28" s="83">
        <f t="shared" si="18"/>
        <v>6797529</v>
      </c>
      <c r="U28" s="60" t="s">
        <v>34</v>
      </c>
      <c r="V28" s="85">
        <f t="shared" si="12"/>
        <v>0</v>
      </c>
      <c r="W28" s="85"/>
      <c r="X28" s="85"/>
      <c r="Y28" s="85">
        <f t="shared" si="19"/>
        <v>3.3299999999999996E-2</v>
      </c>
      <c r="Z28" s="85"/>
      <c r="AA28" s="85"/>
      <c r="AB28" s="85"/>
      <c r="AC28" s="85">
        <f t="shared" si="20"/>
        <v>3.3299999999999996E-2</v>
      </c>
      <c r="AD28" s="86">
        <f t="shared" si="21"/>
        <v>49616.999999999993</v>
      </c>
      <c r="AE28" s="84" t="s">
        <v>376</v>
      </c>
    </row>
    <row r="29" spans="1:31" ht="35.25" customHeight="1" x14ac:dyDescent="0.25">
      <c r="A29" s="96">
        <v>4</v>
      </c>
      <c r="B29" s="77" t="s">
        <v>379</v>
      </c>
      <c r="C29" s="79"/>
      <c r="D29" s="35">
        <v>3.33</v>
      </c>
      <c r="E29" s="80"/>
      <c r="F29" s="80"/>
      <c r="G29" s="80">
        <f>ROUND((D29+E29+F29)*9/100,4)</f>
        <v>0.29970000000000002</v>
      </c>
      <c r="H29" s="81"/>
      <c r="I29" s="80">
        <f t="shared" si="13"/>
        <v>0.83250000000000002</v>
      </c>
      <c r="J29" s="80">
        <f t="shared" si="14"/>
        <v>4.4622000000000002</v>
      </c>
      <c r="K29" s="76">
        <f t="shared" si="15"/>
        <v>6648678</v>
      </c>
      <c r="L29" s="82"/>
      <c r="M29" s="88">
        <v>3.33</v>
      </c>
      <c r="N29" s="80"/>
      <c r="O29" s="80"/>
      <c r="P29" s="80">
        <f>ROUND((M29+N29+O29)*10/100,4)</f>
        <v>0.33300000000000002</v>
      </c>
      <c r="Q29" s="81"/>
      <c r="R29" s="80">
        <f t="shared" si="16"/>
        <v>0.83250000000000002</v>
      </c>
      <c r="S29" s="64">
        <f t="shared" si="17"/>
        <v>4.4954999999999998</v>
      </c>
      <c r="T29" s="83">
        <f t="shared" si="18"/>
        <v>6698295</v>
      </c>
      <c r="U29" s="60" t="s">
        <v>34</v>
      </c>
      <c r="V29" s="85">
        <f t="shared" si="12"/>
        <v>0</v>
      </c>
      <c r="W29" s="85"/>
      <c r="X29" s="85"/>
      <c r="Y29" s="85">
        <f t="shared" si="19"/>
        <v>3.3299999999999996E-2</v>
      </c>
      <c r="Z29" s="85"/>
      <c r="AA29" s="85"/>
      <c r="AB29" s="85"/>
      <c r="AC29" s="85">
        <f t="shared" si="20"/>
        <v>3.3299999999999996E-2</v>
      </c>
      <c r="AD29" s="86">
        <f t="shared" si="21"/>
        <v>49616.999999999993</v>
      </c>
      <c r="AE29" s="84" t="s">
        <v>380</v>
      </c>
    </row>
    <row r="30" spans="1:31" ht="35.25" customHeight="1" x14ac:dyDescent="0.25">
      <c r="A30" s="96">
        <v>5</v>
      </c>
      <c r="B30" s="77" t="s">
        <v>381</v>
      </c>
      <c r="C30" s="79"/>
      <c r="D30" s="148">
        <v>3.33</v>
      </c>
      <c r="E30" s="80"/>
      <c r="F30" s="80"/>
      <c r="G30" s="80">
        <f>ROUND((D30+E30+F30)*9/100,4)</f>
        <v>0.29970000000000002</v>
      </c>
      <c r="H30" s="81"/>
      <c r="I30" s="80">
        <f t="shared" si="13"/>
        <v>0.83250000000000002</v>
      </c>
      <c r="J30" s="80">
        <f t="shared" si="14"/>
        <v>4.4622000000000002</v>
      </c>
      <c r="K30" s="76">
        <f t="shared" si="15"/>
        <v>6648678</v>
      </c>
      <c r="L30" s="82"/>
      <c r="M30" s="88">
        <v>3.33</v>
      </c>
      <c r="N30" s="80"/>
      <c r="O30" s="80"/>
      <c r="P30" s="80">
        <f>ROUND((M30+N30+O30)*10/100,4)</f>
        <v>0.33300000000000002</v>
      </c>
      <c r="Q30" s="81"/>
      <c r="R30" s="80">
        <f t="shared" si="16"/>
        <v>0.83250000000000002</v>
      </c>
      <c r="S30" s="64">
        <f t="shared" si="17"/>
        <v>4.4954999999999998</v>
      </c>
      <c r="T30" s="83">
        <f t="shared" si="18"/>
        <v>6698295</v>
      </c>
      <c r="U30" s="60" t="s">
        <v>34</v>
      </c>
      <c r="V30" s="85">
        <f t="shared" si="12"/>
        <v>0</v>
      </c>
      <c r="W30" s="85">
        <f>N30-E30</f>
        <v>0</v>
      </c>
      <c r="X30" s="85"/>
      <c r="Y30" s="85">
        <f t="shared" si="19"/>
        <v>3.3299999999999996E-2</v>
      </c>
      <c r="Z30" s="85"/>
      <c r="AA30" s="85"/>
      <c r="AB30" s="85"/>
      <c r="AC30" s="85">
        <f t="shared" si="20"/>
        <v>3.3299999999999996E-2</v>
      </c>
      <c r="AD30" s="86">
        <f t="shared" si="21"/>
        <v>49616.999999999993</v>
      </c>
      <c r="AE30" s="84" t="s">
        <v>380</v>
      </c>
    </row>
    <row r="31" spans="1:31" ht="35.25" customHeight="1" x14ac:dyDescent="0.25">
      <c r="A31" s="96">
        <v>6</v>
      </c>
      <c r="B31" s="77" t="s">
        <v>210</v>
      </c>
      <c r="C31" s="79"/>
      <c r="D31" s="148">
        <v>3</v>
      </c>
      <c r="E31" s="80"/>
      <c r="F31" s="80"/>
      <c r="G31" s="80">
        <f>ROUND((D31+E31+F31)*5/100,4)</f>
        <v>0.15</v>
      </c>
      <c r="H31" s="81"/>
      <c r="I31" s="80">
        <f t="shared" si="13"/>
        <v>0.75</v>
      </c>
      <c r="J31" s="80">
        <f t="shared" si="14"/>
        <v>3.9</v>
      </c>
      <c r="K31" s="76">
        <f t="shared" si="15"/>
        <v>5811000</v>
      </c>
      <c r="L31" s="82"/>
      <c r="M31" s="88">
        <v>3</v>
      </c>
      <c r="N31" s="80"/>
      <c r="O31" s="80"/>
      <c r="P31" s="80">
        <f>ROUND((M31+N31+O31)*6/100,4)</f>
        <v>0.18</v>
      </c>
      <c r="Q31" s="81"/>
      <c r="R31" s="80">
        <f t="shared" si="16"/>
        <v>0.75</v>
      </c>
      <c r="S31" s="64">
        <f t="shared" si="17"/>
        <v>3.93</v>
      </c>
      <c r="T31" s="83">
        <f t="shared" si="18"/>
        <v>5855700</v>
      </c>
      <c r="U31" s="60" t="s">
        <v>34</v>
      </c>
      <c r="V31" s="85"/>
      <c r="W31" s="85"/>
      <c r="X31" s="85"/>
      <c r="Y31" s="85">
        <f t="shared" si="19"/>
        <v>0.03</v>
      </c>
      <c r="Z31" s="85"/>
      <c r="AA31" s="85"/>
      <c r="AB31" s="85"/>
      <c r="AC31" s="85">
        <f t="shared" si="20"/>
        <v>0.03</v>
      </c>
      <c r="AD31" s="86">
        <f t="shared" si="21"/>
        <v>44700</v>
      </c>
      <c r="AE31" s="84" t="s">
        <v>366</v>
      </c>
    </row>
    <row r="32" spans="1:31" ht="22.5" customHeight="1" x14ac:dyDescent="0.25">
      <c r="A32" s="34" t="s">
        <v>36</v>
      </c>
      <c r="B32" s="66"/>
      <c r="C32" s="63"/>
      <c r="D32" s="73">
        <f t="shared" ref="D32:AD32" si="22">D33+D35</f>
        <v>0</v>
      </c>
      <c r="E32" s="68">
        <f t="shared" si="22"/>
        <v>0</v>
      </c>
      <c r="F32" s="73">
        <f t="shared" si="22"/>
        <v>0</v>
      </c>
      <c r="G32" s="68">
        <f t="shared" si="22"/>
        <v>0</v>
      </c>
      <c r="H32" s="73">
        <f t="shared" si="22"/>
        <v>0</v>
      </c>
      <c r="I32" s="68">
        <f t="shared" si="22"/>
        <v>0</v>
      </c>
      <c r="J32" s="68">
        <f t="shared" si="22"/>
        <v>0</v>
      </c>
      <c r="K32" s="67">
        <f t="shared" si="22"/>
        <v>0</v>
      </c>
      <c r="L32" s="73">
        <f t="shared" si="22"/>
        <v>0</v>
      </c>
      <c r="M32" s="73">
        <f t="shared" si="22"/>
        <v>0</v>
      </c>
      <c r="N32" s="68">
        <f t="shared" si="22"/>
        <v>0</v>
      </c>
      <c r="O32" s="73">
        <f t="shared" si="22"/>
        <v>0</v>
      </c>
      <c r="P32" s="68">
        <f t="shared" si="22"/>
        <v>0</v>
      </c>
      <c r="Q32" s="73">
        <f t="shared" si="22"/>
        <v>0</v>
      </c>
      <c r="R32" s="68">
        <f t="shared" si="22"/>
        <v>0</v>
      </c>
      <c r="S32" s="68">
        <f t="shared" si="22"/>
        <v>0</v>
      </c>
      <c r="T32" s="68">
        <f t="shared" si="22"/>
        <v>0</v>
      </c>
      <c r="U32" s="67">
        <f t="shared" si="22"/>
        <v>0</v>
      </c>
      <c r="V32" s="73">
        <f t="shared" si="22"/>
        <v>0</v>
      </c>
      <c r="W32" s="68">
        <f t="shared" si="22"/>
        <v>0</v>
      </c>
      <c r="X32" s="73">
        <f t="shared" si="22"/>
        <v>0</v>
      </c>
      <c r="Y32" s="68">
        <f t="shared" si="22"/>
        <v>0</v>
      </c>
      <c r="Z32" s="73">
        <f t="shared" si="22"/>
        <v>0</v>
      </c>
      <c r="AA32" s="73">
        <f t="shared" si="22"/>
        <v>0</v>
      </c>
      <c r="AB32" s="68">
        <f t="shared" si="22"/>
        <v>0</v>
      </c>
      <c r="AC32" s="68">
        <f>AC33+AC35</f>
        <v>0</v>
      </c>
      <c r="AD32" s="67">
        <f t="shared" si="22"/>
        <v>0</v>
      </c>
      <c r="AE32" s="72"/>
    </row>
    <row r="33" spans="1:31" ht="23.25" customHeight="1" x14ac:dyDescent="0.25">
      <c r="A33" s="59"/>
      <c r="B33" s="214" t="s">
        <v>29</v>
      </c>
      <c r="C33" s="60"/>
      <c r="D33" s="74">
        <f t="shared" ref="D33:AE33" si="23">SUM(D34:D34)</f>
        <v>0</v>
      </c>
      <c r="E33" s="78">
        <f t="shared" si="23"/>
        <v>0</v>
      </c>
      <c r="F33" s="74">
        <f t="shared" si="23"/>
        <v>0</v>
      </c>
      <c r="G33" s="78">
        <f t="shared" si="23"/>
        <v>0</v>
      </c>
      <c r="H33" s="74">
        <f t="shared" si="23"/>
        <v>0</v>
      </c>
      <c r="I33" s="78">
        <f t="shared" si="23"/>
        <v>0</v>
      </c>
      <c r="J33" s="78">
        <f t="shared" si="23"/>
        <v>0</v>
      </c>
      <c r="K33" s="75">
        <f t="shared" si="23"/>
        <v>0</v>
      </c>
      <c r="L33" s="74">
        <f t="shared" si="23"/>
        <v>0</v>
      </c>
      <c r="M33" s="74">
        <f t="shared" si="23"/>
        <v>0</v>
      </c>
      <c r="N33" s="78">
        <f t="shared" si="23"/>
        <v>0</v>
      </c>
      <c r="O33" s="74">
        <f t="shared" si="23"/>
        <v>0</v>
      </c>
      <c r="P33" s="78">
        <f t="shared" si="23"/>
        <v>0</v>
      </c>
      <c r="Q33" s="74">
        <f t="shared" si="23"/>
        <v>0</v>
      </c>
      <c r="R33" s="78">
        <f t="shared" si="23"/>
        <v>0</v>
      </c>
      <c r="S33" s="78">
        <f t="shared" si="23"/>
        <v>0</v>
      </c>
      <c r="T33" s="74">
        <f t="shared" si="23"/>
        <v>0</v>
      </c>
      <c r="U33" s="67">
        <f t="shared" si="23"/>
        <v>0</v>
      </c>
      <c r="V33" s="74">
        <f t="shared" si="23"/>
        <v>0</v>
      </c>
      <c r="W33" s="74">
        <f t="shared" si="23"/>
        <v>0</v>
      </c>
      <c r="X33" s="74">
        <f t="shared" si="23"/>
        <v>0</v>
      </c>
      <c r="Y33" s="78">
        <f t="shared" si="23"/>
        <v>0</v>
      </c>
      <c r="Z33" s="74">
        <f t="shared" si="23"/>
        <v>0</v>
      </c>
      <c r="AA33" s="74">
        <f t="shared" si="23"/>
        <v>0</v>
      </c>
      <c r="AB33" s="78">
        <f t="shared" si="23"/>
        <v>0</v>
      </c>
      <c r="AC33" s="78">
        <f t="shared" si="23"/>
        <v>0</v>
      </c>
      <c r="AD33" s="75">
        <f t="shared" si="23"/>
        <v>0</v>
      </c>
      <c r="AE33" s="74">
        <f t="shared" si="23"/>
        <v>0</v>
      </c>
    </row>
    <row r="34" spans="1:31" ht="28.5" hidden="1" customHeight="1" x14ac:dyDescent="0.25">
      <c r="A34" s="207"/>
      <c r="B34" s="215"/>
      <c r="C34" s="208"/>
      <c r="D34" s="209"/>
      <c r="E34" s="182"/>
      <c r="F34" s="182"/>
      <c r="G34" s="182"/>
      <c r="H34" s="182"/>
      <c r="I34" s="182"/>
      <c r="J34" s="182"/>
      <c r="K34" s="183"/>
      <c r="L34" s="182"/>
      <c r="M34" s="210"/>
      <c r="N34" s="182"/>
      <c r="O34" s="182"/>
      <c r="P34" s="182"/>
      <c r="Q34" s="182"/>
      <c r="R34" s="182"/>
      <c r="S34" s="211"/>
      <c r="T34" s="183"/>
      <c r="U34" s="60"/>
      <c r="V34" s="184"/>
      <c r="W34" s="184"/>
      <c r="X34" s="184"/>
      <c r="Y34" s="184"/>
      <c r="Z34" s="184"/>
      <c r="AA34" s="184"/>
      <c r="AB34" s="184"/>
      <c r="AC34" s="184"/>
      <c r="AD34" s="185"/>
      <c r="AE34" s="212"/>
    </row>
    <row r="35" spans="1:31" ht="48" customHeight="1" x14ac:dyDescent="0.25">
      <c r="A35" s="192"/>
      <c r="B35" s="193" t="s">
        <v>33</v>
      </c>
      <c r="C35" s="193"/>
      <c r="D35" s="194">
        <f t="shared" ref="D35:AD35" si="24">SUM(D36:D36)</f>
        <v>0</v>
      </c>
      <c r="E35" s="194">
        <f t="shared" si="24"/>
        <v>0</v>
      </c>
      <c r="F35" s="194">
        <f t="shared" si="24"/>
        <v>0</v>
      </c>
      <c r="G35" s="195">
        <f t="shared" si="24"/>
        <v>0</v>
      </c>
      <c r="H35" s="194">
        <f t="shared" si="24"/>
        <v>0</v>
      </c>
      <c r="I35" s="195">
        <f t="shared" si="24"/>
        <v>0</v>
      </c>
      <c r="J35" s="195">
        <f t="shared" si="24"/>
        <v>0</v>
      </c>
      <c r="K35" s="196">
        <f t="shared" si="24"/>
        <v>0</v>
      </c>
      <c r="L35" s="194">
        <f t="shared" si="24"/>
        <v>0</v>
      </c>
      <c r="M35" s="194">
        <f t="shared" si="24"/>
        <v>0</v>
      </c>
      <c r="N35" s="194">
        <f t="shared" si="24"/>
        <v>0</v>
      </c>
      <c r="O35" s="194">
        <f t="shared" si="24"/>
        <v>0</v>
      </c>
      <c r="P35" s="195">
        <f t="shared" si="24"/>
        <v>0</v>
      </c>
      <c r="Q35" s="194">
        <f t="shared" si="24"/>
        <v>0</v>
      </c>
      <c r="R35" s="195">
        <f t="shared" si="24"/>
        <v>0</v>
      </c>
      <c r="S35" s="195">
        <f t="shared" si="24"/>
        <v>0</v>
      </c>
      <c r="T35" s="196">
        <f t="shared" si="24"/>
        <v>0</v>
      </c>
      <c r="U35" s="194">
        <f t="shared" si="24"/>
        <v>0</v>
      </c>
      <c r="V35" s="194">
        <f t="shared" si="24"/>
        <v>0</v>
      </c>
      <c r="W35" s="194">
        <f t="shared" si="24"/>
        <v>0</v>
      </c>
      <c r="X35" s="194">
        <f t="shared" si="24"/>
        <v>0</v>
      </c>
      <c r="Y35" s="195">
        <f t="shared" si="24"/>
        <v>0</v>
      </c>
      <c r="Z35" s="194">
        <f t="shared" si="24"/>
        <v>0</v>
      </c>
      <c r="AA35" s="194">
        <f t="shared" si="24"/>
        <v>0</v>
      </c>
      <c r="AB35" s="195">
        <f t="shared" si="24"/>
        <v>0</v>
      </c>
      <c r="AC35" s="195">
        <f t="shared" si="24"/>
        <v>0</v>
      </c>
      <c r="AD35" s="196">
        <f t="shared" si="24"/>
        <v>0</v>
      </c>
      <c r="AE35" s="110"/>
    </row>
    <row r="36" spans="1:31" ht="45.75" hidden="1" customHeight="1" x14ac:dyDescent="0.25">
      <c r="A36" s="192"/>
      <c r="B36" s="112"/>
      <c r="C36" s="112"/>
      <c r="D36" s="218"/>
      <c r="E36" s="116"/>
      <c r="F36" s="116"/>
      <c r="G36" s="114"/>
      <c r="H36" s="219"/>
      <c r="I36" s="114"/>
      <c r="J36" s="114"/>
      <c r="K36" s="115"/>
      <c r="L36" s="116"/>
      <c r="M36" s="116"/>
      <c r="N36" s="116"/>
      <c r="O36" s="116"/>
      <c r="P36" s="116"/>
      <c r="Q36" s="219"/>
      <c r="R36" s="114"/>
      <c r="S36" s="114"/>
      <c r="T36" s="115"/>
      <c r="U36" s="63"/>
      <c r="V36" s="218"/>
      <c r="W36" s="116"/>
      <c r="X36" s="116"/>
      <c r="Y36" s="114"/>
      <c r="Z36" s="116"/>
      <c r="AA36" s="116"/>
      <c r="AB36" s="114"/>
      <c r="AC36" s="114"/>
      <c r="AD36" s="115"/>
      <c r="AE36" s="31"/>
    </row>
    <row r="37" spans="1:31" ht="24" customHeight="1" x14ac:dyDescent="0.25">
      <c r="A37" s="43"/>
      <c r="B37" s="42"/>
      <c r="C37" s="8"/>
      <c r="D37" s="9"/>
      <c r="E37" s="10"/>
      <c r="F37" s="11"/>
      <c r="G37" s="22"/>
      <c r="H37" s="22"/>
      <c r="I37" s="22"/>
      <c r="J37" s="23"/>
      <c r="K37" s="24"/>
      <c r="L37" s="12"/>
      <c r="M37" s="13"/>
      <c r="N37" s="13"/>
      <c r="O37" s="7"/>
      <c r="P37" s="7"/>
      <c r="Q37" s="14"/>
      <c r="R37" s="18"/>
      <c r="S37" s="18"/>
      <c r="T37" s="18"/>
      <c r="U37" s="18"/>
      <c r="V37" s="7"/>
      <c r="W37" s="220"/>
      <c r="X37" s="221"/>
      <c r="Y37" s="42"/>
      <c r="Z37" s="42"/>
      <c r="AA37" s="42"/>
      <c r="AB37" s="42"/>
      <c r="AC37" s="42"/>
      <c r="AD37" s="42"/>
      <c r="AE37" s="18"/>
    </row>
    <row r="38" spans="1:31" ht="15.75" x14ac:dyDescent="0.25">
      <c r="A38" s="43"/>
      <c r="B38" s="42"/>
      <c r="C38" s="8"/>
      <c r="D38" s="9"/>
      <c r="E38" s="10"/>
      <c r="F38" s="11"/>
      <c r="G38" s="22"/>
      <c r="H38" s="22"/>
      <c r="I38" s="22"/>
      <c r="J38" s="23"/>
      <c r="K38" s="24"/>
      <c r="L38" s="12"/>
      <c r="M38" s="13"/>
      <c r="N38" s="13"/>
      <c r="O38" s="7"/>
      <c r="P38" s="7"/>
      <c r="Q38" s="14"/>
      <c r="R38" s="18"/>
      <c r="S38" s="18"/>
      <c r="T38" s="18"/>
      <c r="U38" s="18"/>
      <c r="V38" s="15"/>
      <c r="W38" s="6"/>
      <c r="X38" s="33"/>
      <c r="Y38" s="44"/>
      <c r="Z38" s="44"/>
      <c r="AA38" s="301" t="s">
        <v>383</v>
      </c>
      <c r="AB38" s="301"/>
      <c r="AC38" s="301"/>
      <c r="AD38" s="301"/>
      <c r="AE38" s="301"/>
    </row>
    <row r="39" spans="1:31" ht="15.75" x14ac:dyDescent="0.25">
      <c r="A39" s="43"/>
      <c r="B39" s="291" t="s">
        <v>37</v>
      </c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3"/>
      <c r="W39" s="291" t="s">
        <v>38</v>
      </c>
      <c r="X39" s="291"/>
      <c r="Y39" s="291"/>
      <c r="Z39" s="291"/>
      <c r="AA39" s="302" t="s">
        <v>39</v>
      </c>
      <c r="AB39" s="302"/>
      <c r="AC39" s="302"/>
      <c r="AD39" s="302"/>
      <c r="AE39" s="302"/>
    </row>
    <row r="40" spans="1:31" ht="15.75" x14ac:dyDescent="0.25">
      <c r="A40" s="43"/>
      <c r="B40" s="2"/>
      <c r="C40" s="2"/>
      <c r="D40" s="2"/>
      <c r="E40" s="2"/>
      <c r="F40" s="2"/>
      <c r="G40" s="4"/>
      <c r="H40" s="4"/>
      <c r="I40" s="2"/>
      <c r="J40" s="2"/>
      <c r="K40" s="4"/>
      <c r="L40" s="2"/>
      <c r="M40" s="2"/>
      <c r="N40" s="2"/>
      <c r="O40" s="2"/>
      <c r="P40" s="2"/>
      <c r="Q40" s="2"/>
      <c r="R40" s="2"/>
      <c r="S40" s="274"/>
      <c r="T40" s="274"/>
      <c r="U40" s="274"/>
      <c r="V40" s="25"/>
      <c r="W40" s="274"/>
      <c r="X40" s="273"/>
      <c r="Y40" s="2"/>
      <c r="Z40" s="2"/>
      <c r="AA40" s="2"/>
      <c r="AB40" s="273"/>
      <c r="AC40" s="47"/>
      <c r="AD40" s="47"/>
      <c r="AE40" s="4"/>
    </row>
    <row r="41" spans="1:31" ht="15.75" x14ac:dyDescent="0.25">
      <c r="A41" s="43"/>
      <c r="B41" s="2"/>
      <c r="C41" s="2"/>
      <c r="D41" s="2"/>
      <c r="E41" s="2"/>
      <c r="F41" s="2"/>
      <c r="G41" s="4"/>
      <c r="H41" s="4"/>
      <c r="I41" s="2"/>
      <c r="J41" s="2"/>
      <c r="K41" s="4"/>
      <c r="L41" s="2"/>
      <c r="M41" s="2"/>
      <c r="N41" s="2"/>
      <c r="O41" s="2"/>
      <c r="P41" s="2"/>
      <c r="Q41" s="2"/>
      <c r="R41" s="2"/>
      <c r="S41" s="274"/>
      <c r="T41" s="25"/>
      <c r="U41" s="25"/>
      <c r="V41" s="2"/>
      <c r="W41" s="2"/>
      <c r="X41" s="2"/>
      <c r="Y41" s="48"/>
      <c r="Z41" s="2"/>
      <c r="AA41" s="2"/>
      <c r="AB41" s="2"/>
      <c r="AC41" s="41"/>
      <c r="AD41" s="41"/>
      <c r="AE41" s="3"/>
    </row>
    <row r="42" spans="1:31" ht="15.75" x14ac:dyDescent="0.25">
      <c r="A42" s="43"/>
      <c r="B42" s="2"/>
      <c r="C42" s="2"/>
      <c r="D42" s="2"/>
      <c r="E42" s="2"/>
      <c r="F42" s="2"/>
      <c r="G42" s="4"/>
      <c r="H42" s="4"/>
      <c r="I42" s="2"/>
      <c r="J42" s="2"/>
      <c r="K42" s="4"/>
      <c r="L42" s="2"/>
      <c r="M42" s="2"/>
      <c r="N42" s="2"/>
      <c r="O42" s="2"/>
      <c r="P42" s="2"/>
      <c r="Q42" s="2"/>
      <c r="R42" s="2"/>
      <c r="S42" s="2"/>
      <c r="T42" s="25"/>
      <c r="U42" s="25"/>
      <c r="V42" s="2"/>
      <c r="W42" s="2"/>
      <c r="X42" s="2"/>
      <c r="Y42" s="48"/>
      <c r="Z42" s="2"/>
      <c r="AA42" s="2"/>
      <c r="AB42" s="2"/>
      <c r="AC42" s="41"/>
      <c r="AD42" s="41"/>
      <c r="AE42" s="3"/>
    </row>
    <row r="43" spans="1:31" ht="15.75" x14ac:dyDescent="0.25">
      <c r="A43" s="43"/>
      <c r="B43" s="2"/>
      <c r="C43" s="2"/>
      <c r="D43" s="2"/>
      <c r="E43" s="2"/>
      <c r="F43" s="2"/>
      <c r="G43" s="4"/>
      <c r="H43" s="4"/>
      <c r="I43" s="2"/>
      <c r="J43" s="2"/>
      <c r="K43" s="4"/>
      <c r="L43" s="2"/>
      <c r="M43" s="2"/>
      <c r="N43" s="2"/>
      <c r="O43" s="2"/>
      <c r="P43" s="2"/>
      <c r="Q43" s="2"/>
      <c r="R43" s="2"/>
      <c r="S43" s="2"/>
      <c r="T43" s="25"/>
      <c r="U43" s="25"/>
      <c r="V43" s="2"/>
      <c r="W43" s="2"/>
      <c r="X43" s="2"/>
      <c r="Y43" s="48"/>
      <c r="Z43" s="2"/>
      <c r="AA43" s="2"/>
      <c r="AB43" s="2"/>
      <c r="AC43" s="41"/>
      <c r="AD43" s="41"/>
      <c r="AE43" s="3"/>
    </row>
    <row r="44" spans="1:31" ht="15.75" x14ac:dyDescent="0.25">
      <c r="A44" s="43"/>
      <c r="B44" s="291" t="s">
        <v>40</v>
      </c>
      <c r="C44" s="291"/>
      <c r="D44" s="291"/>
      <c r="E44" s="291"/>
      <c r="F44" s="291"/>
      <c r="G44" s="291"/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"/>
      <c r="W44" s="291" t="s">
        <v>41</v>
      </c>
      <c r="X44" s="291"/>
      <c r="Y44" s="291"/>
      <c r="Z44" s="291"/>
      <c r="AA44" s="291" t="s">
        <v>42</v>
      </c>
      <c r="AB44" s="291"/>
      <c r="AC44" s="291"/>
      <c r="AD44" s="291"/>
      <c r="AE44" s="291"/>
    </row>
    <row r="45" spans="1:31" ht="15.75" x14ac:dyDescent="0.25">
      <c r="A45" s="43"/>
      <c r="B45" s="2"/>
      <c r="C45" s="2"/>
      <c r="D45" s="2"/>
      <c r="E45" s="2"/>
      <c r="F45" s="2"/>
      <c r="G45" s="4"/>
      <c r="H45" s="4"/>
      <c r="I45" s="2"/>
      <c r="J45" s="2"/>
      <c r="K45" s="4"/>
      <c r="L45" s="2"/>
      <c r="M45" s="2"/>
      <c r="N45" s="2"/>
      <c r="O45" s="2"/>
      <c r="P45" s="2"/>
      <c r="Q45" s="2"/>
      <c r="R45" s="2"/>
      <c r="S45" s="2"/>
      <c r="T45" s="25"/>
      <c r="U45" s="25"/>
      <c r="V45" s="2"/>
      <c r="W45" s="6"/>
      <c r="X45" s="33"/>
      <c r="Y45" s="2"/>
      <c r="Z45" s="2"/>
      <c r="AA45" s="2"/>
      <c r="AB45" s="2"/>
      <c r="AC45" s="2"/>
      <c r="AD45" s="2"/>
      <c r="AE45" s="2"/>
    </row>
  </sheetData>
  <mergeCells count="20">
    <mergeCell ref="A5:AE5"/>
    <mergeCell ref="A1:U1"/>
    <mergeCell ref="AA1:AE1"/>
    <mergeCell ref="A2:U2"/>
    <mergeCell ref="AA2:AE2"/>
    <mergeCell ref="A3:U3"/>
    <mergeCell ref="B44:U44"/>
    <mergeCell ref="W44:Z44"/>
    <mergeCell ref="AA44:AE44"/>
    <mergeCell ref="A7:A8"/>
    <mergeCell ref="B7:B8"/>
    <mergeCell ref="C7:K7"/>
    <mergeCell ref="L7:T7"/>
    <mergeCell ref="U7:U8"/>
    <mergeCell ref="V7:AD7"/>
    <mergeCell ref="AE7:AE8"/>
    <mergeCell ref="AA38:AE38"/>
    <mergeCell ref="B39:U39"/>
    <mergeCell ref="W39:Z39"/>
    <mergeCell ref="AA39:AE39"/>
  </mergeCells>
  <pageMargins left="0.39370078740157483" right="0.27559055118110237" top="0.55118110236220474" bottom="0.47244094488188981" header="0.31496062992125984" footer="0.31496062992125984"/>
  <pageSetup paperSize="9" orientation="landscape" r:id="rId1"/>
  <headerFooter>
    <oddFooter>&amp;C&amp;10&amp;P/&amp;N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2"/>
  <sheetViews>
    <sheetView topLeftCell="A10" workbookViewId="0">
      <selection activeCell="B14" sqref="B14"/>
    </sheetView>
  </sheetViews>
  <sheetFormatPr defaultRowHeight="15" x14ac:dyDescent="0.25"/>
  <cols>
    <col min="1" max="1" width="4.5703125" style="1" customWidth="1"/>
    <col min="2" max="2" width="20.85546875" style="1" customWidth="1"/>
    <col min="3" max="3" width="9.140625" style="1" hidden="1" customWidth="1"/>
    <col min="4" max="4" width="11" style="1" hidden="1" customWidth="1"/>
    <col min="5" max="5" width="10.28515625" style="1" hidden="1" customWidth="1"/>
    <col min="6" max="6" width="9.7109375" style="1" hidden="1" customWidth="1"/>
    <col min="7" max="7" width="12" style="1" hidden="1" customWidth="1"/>
    <col min="8" max="8" width="9.140625" style="1" hidden="1" customWidth="1"/>
    <col min="9" max="10" width="10.7109375" style="1" hidden="1" customWidth="1"/>
    <col min="11" max="11" width="15.42578125" style="1" hidden="1" customWidth="1"/>
    <col min="12" max="12" width="9.140625" style="1" hidden="1" customWidth="1"/>
    <col min="13" max="13" width="10" style="1" hidden="1" customWidth="1"/>
    <col min="14" max="14" width="9.5703125" style="1" hidden="1" customWidth="1"/>
    <col min="15" max="15" width="9.140625" style="1" hidden="1" customWidth="1"/>
    <col min="16" max="16" width="11.140625" style="1" hidden="1" customWidth="1"/>
    <col min="17" max="17" width="9.140625" style="1" hidden="1" customWidth="1"/>
    <col min="18" max="18" width="11.5703125" style="1" hidden="1" customWidth="1"/>
    <col min="19" max="19" width="12.28515625" style="1" hidden="1" customWidth="1"/>
    <col min="20" max="20" width="14.140625" style="1" hidden="1" customWidth="1"/>
    <col min="21" max="21" width="11.5703125" style="1" customWidth="1"/>
    <col min="22" max="22" width="9.42578125" style="1" customWidth="1"/>
    <col min="23" max="23" width="10.140625" style="1" customWidth="1"/>
    <col min="24" max="24" width="9" style="1" customWidth="1"/>
    <col min="25" max="25" width="10" style="1" customWidth="1"/>
    <col min="26" max="26" width="7.7109375" style="1" customWidth="1"/>
    <col min="27" max="27" width="8.5703125" style="1" customWidth="1"/>
    <col min="28" max="28" width="9.42578125" style="1" customWidth="1"/>
    <col min="29" max="29" width="10.42578125" style="1" customWidth="1"/>
    <col min="30" max="30" width="13" style="1" customWidth="1"/>
    <col min="31" max="31" width="12.1406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411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1490000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412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55.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226</v>
      </c>
      <c r="AE9" s="27" t="s">
        <v>27</v>
      </c>
    </row>
    <row r="10" spans="1:31" ht="30.75" customHeight="1" x14ac:dyDescent="0.25">
      <c r="A10" s="34" t="s">
        <v>28</v>
      </c>
      <c r="B10" s="32"/>
      <c r="C10" s="31"/>
      <c r="D10" s="49">
        <f t="shared" ref="D10:AD10" si="0">D11+D27</f>
        <v>179.04000000000002</v>
      </c>
      <c r="E10" s="50">
        <f t="shared" si="0"/>
        <v>0.89190000000000003</v>
      </c>
      <c r="F10" s="49">
        <f t="shared" si="0"/>
        <v>3.45</v>
      </c>
      <c r="G10" s="50">
        <f t="shared" si="0"/>
        <v>19.636699999999998</v>
      </c>
      <c r="H10" s="49">
        <f t="shared" si="0"/>
        <v>0</v>
      </c>
      <c r="I10" s="50">
        <f t="shared" si="0"/>
        <v>45.550400000000003</v>
      </c>
      <c r="J10" s="50">
        <f t="shared" si="0"/>
        <v>248.56899999999999</v>
      </c>
      <c r="K10" s="62">
        <f t="shared" si="0"/>
        <v>370367810</v>
      </c>
      <c r="L10" s="49">
        <f t="shared" si="0"/>
        <v>0</v>
      </c>
      <c r="M10" s="49">
        <f t="shared" si="0"/>
        <v>196.32</v>
      </c>
      <c r="N10" s="50">
        <f t="shared" si="0"/>
        <v>0.99059999999999993</v>
      </c>
      <c r="O10" s="49">
        <f t="shared" si="0"/>
        <v>3.45</v>
      </c>
      <c r="P10" s="50">
        <f t="shared" si="0"/>
        <v>21.225699999999996</v>
      </c>
      <c r="Q10" s="49">
        <f t="shared" si="0"/>
        <v>0</v>
      </c>
      <c r="R10" s="50">
        <f t="shared" si="0"/>
        <v>49.473400000000005</v>
      </c>
      <c r="S10" s="50">
        <f t="shared" si="0"/>
        <v>271.45970000000005</v>
      </c>
      <c r="T10" s="62">
        <f t="shared" si="0"/>
        <v>404474953</v>
      </c>
      <c r="U10" s="49">
        <f t="shared" si="0"/>
        <v>0</v>
      </c>
      <c r="V10" s="49">
        <f t="shared" si="0"/>
        <v>17.28</v>
      </c>
      <c r="W10" s="50">
        <f t="shared" si="0"/>
        <v>9.8699999999999954E-2</v>
      </c>
      <c r="X10" s="49">
        <f t="shared" si="0"/>
        <v>0</v>
      </c>
      <c r="Y10" s="50">
        <f t="shared" si="0"/>
        <v>1.5923000000000005</v>
      </c>
      <c r="Z10" s="49">
        <f t="shared" si="0"/>
        <v>0</v>
      </c>
      <c r="AA10" s="49">
        <f t="shared" si="0"/>
        <v>0</v>
      </c>
      <c r="AB10" s="50">
        <f t="shared" si="0"/>
        <v>3.9230000000000009</v>
      </c>
      <c r="AC10" s="50">
        <f t="shared" si="0"/>
        <v>22.890699999999999</v>
      </c>
      <c r="AD10" s="62">
        <f t="shared" si="0"/>
        <v>34107143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 t="shared" ref="D11:AD11" si="1">SUM(D12:D26)</f>
        <v>65.04000000000002</v>
      </c>
      <c r="E11" s="61">
        <f t="shared" si="1"/>
        <v>0.89190000000000003</v>
      </c>
      <c r="F11" s="53">
        <f t="shared" si="1"/>
        <v>0.6</v>
      </c>
      <c r="G11" s="61">
        <f t="shared" si="1"/>
        <v>11.230399999999999</v>
      </c>
      <c r="H11" s="53">
        <f t="shared" si="1"/>
        <v>0</v>
      </c>
      <c r="I11" s="61">
        <f t="shared" si="1"/>
        <v>14.4344</v>
      </c>
      <c r="J11" s="61">
        <f t="shared" si="1"/>
        <v>92.196699999999993</v>
      </c>
      <c r="K11" s="272">
        <f t="shared" si="1"/>
        <v>137373083</v>
      </c>
      <c r="L11" s="53">
        <f t="shared" si="1"/>
        <v>0</v>
      </c>
      <c r="M11" s="53">
        <f t="shared" si="1"/>
        <v>68.670000000000016</v>
      </c>
      <c r="N11" s="61">
        <f t="shared" si="1"/>
        <v>0.99059999999999993</v>
      </c>
      <c r="O11" s="53">
        <f t="shared" si="1"/>
        <v>0.6</v>
      </c>
      <c r="P11" s="61">
        <f t="shared" si="1"/>
        <v>11.9291</v>
      </c>
      <c r="Q11" s="53">
        <f t="shared" si="1"/>
        <v>0</v>
      </c>
      <c r="R11" s="61">
        <f t="shared" si="1"/>
        <v>15.271900000000002</v>
      </c>
      <c r="S11" s="61">
        <f t="shared" si="1"/>
        <v>97.461600000000018</v>
      </c>
      <c r="T11" s="272">
        <f t="shared" si="1"/>
        <v>145217784</v>
      </c>
      <c r="U11" s="53">
        <f t="shared" si="1"/>
        <v>0</v>
      </c>
      <c r="V11" s="53">
        <f t="shared" si="1"/>
        <v>3.6300000000000008</v>
      </c>
      <c r="W11" s="61">
        <f t="shared" si="1"/>
        <v>9.8699999999999954E-2</v>
      </c>
      <c r="X11" s="53">
        <f t="shared" si="1"/>
        <v>0</v>
      </c>
      <c r="Y11" s="61">
        <f>SUM(Y12:Y26)+0.0033</f>
        <v>0.70200000000000029</v>
      </c>
      <c r="Z11" s="53">
        <f t="shared" si="1"/>
        <v>0</v>
      </c>
      <c r="AA11" s="53">
        <f t="shared" si="1"/>
        <v>0</v>
      </c>
      <c r="AB11" s="61">
        <f t="shared" si="1"/>
        <v>0.83750000000000013</v>
      </c>
      <c r="AC11" s="61">
        <f t="shared" si="1"/>
        <v>5.2649000000000017</v>
      </c>
      <c r="AD11" s="272">
        <f t="shared" si="1"/>
        <v>7844701.0000000009</v>
      </c>
      <c r="AE11" s="51"/>
    </row>
    <row r="12" spans="1:31" ht="39.75" customHeight="1" x14ac:dyDescent="0.25">
      <c r="A12" s="96">
        <v>1</v>
      </c>
      <c r="B12" s="97" t="s">
        <v>332</v>
      </c>
      <c r="C12" s="96"/>
      <c r="D12" s="98">
        <v>4.9800000000000004</v>
      </c>
      <c r="E12" s="99">
        <f>D12*6/100</f>
        <v>0.29880000000000001</v>
      </c>
      <c r="F12" s="98"/>
      <c r="G12" s="99">
        <f>ROUND((D12+E12+F12)*23/100,4)</f>
        <v>1.2141</v>
      </c>
      <c r="H12" s="98"/>
      <c r="I12" s="99">
        <f>ROUND((D12+E12+F12)*25/100,4)</f>
        <v>1.3197000000000001</v>
      </c>
      <c r="J12" s="99">
        <f>ROUND(SUM(D12:I12),4)</f>
        <v>7.8125999999999998</v>
      </c>
      <c r="K12" s="100">
        <f>ROUND(J12*$B$6,4)</f>
        <v>11640774</v>
      </c>
      <c r="L12" s="98"/>
      <c r="M12" s="98">
        <v>4.9800000000000004</v>
      </c>
      <c r="N12" s="99">
        <f>M12*7/100</f>
        <v>0.34860000000000002</v>
      </c>
      <c r="O12" s="98"/>
      <c r="P12" s="99">
        <f>ROUND((M12+N12+O12)*23/100,4)</f>
        <v>1.2256</v>
      </c>
      <c r="Q12" s="98"/>
      <c r="R12" s="99">
        <f>ROUND((M12+N12+O12)*25/100,4)</f>
        <v>1.3322000000000001</v>
      </c>
      <c r="S12" s="99">
        <f>ROUND(SUM(M12:R12),4)</f>
        <v>7.8864000000000001</v>
      </c>
      <c r="T12" s="100">
        <f>ROUND(S12*$B$6,0)</f>
        <v>11750736</v>
      </c>
      <c r="U12" s="141" t="s">
        <v>31</v>
      </c>
      <c r="V12" s="98">
        <f t="shared" ref="V12:Y26" si="2">M12-D12</f>
        <v>0</v>
      </c>
      <c r="W12" s="99">
        <f t="shared" si="2"/>
        <v>4.9800000000000011E-2</v>
      </c>
      <c r="X12" s="98">
        <f t="shared" si="2"/>
        <v>0</v>
      </c>
      <c r="Y12" s="99">
        <f t="shared" si="2"/>
        <v>1.1500000000000066E-2</v>
      </c>
      <c r="Z12" s="98"/>
      <c r="AA12" s="98"/>
      <c r="AB12" s="99">
        <f>R12-I12</f>
        <v>1.2499999999999956E-2</v>
      </c>
      <c r="AC12" s="99">
        <f>SUM(V12:AB12)</f>
        <v>7.3800000000000032E-2</v>
      </c>
      <c r="AD12" s="100">
        <f>AC12*$B$6</f>
        <v>109962.00000000004</v>
      </c>
      <c r="AE12" s="84" t="s">
        <v>385</v>
      </c>
    </row>
    <row r="13" spans="1:31" ht="39.75" customHeight="1" x14ac:dyDescent="0.25">
      <c r="A13" s="96">
        <v>2</v>
      </c>
      <c r="B13" s="97" t="s">
        <v>259</v>
      </c>
      <c r="C13" s="96"/>
      <c r="D13" s="98">
        <v>4.6500000000000004</v>
      </c>
      <c r="E13" s="99"/>
      <c r="F13" s="98"/>
      <c r="G13" s="99">
        <f>ROUND((D13+E13+F13)*19/100,4)</f>
        <v>0.88349999999999995</v>
      </c>
      <c r="H13" s="98"/>
      <c r="I13" s="99">
        <f t="shared" ref="I13:I26" si="3">ROUND((D13+E13+F13)*25/100,4)</f>
        <v>1.1625000000000001</v>
      </c>
      <c r="J13" s="99">
        <f t="shared" ref="J13:J26" si="4">ROUND(SUM(D13:I13),4)</f>
        <v>6.6959999999999997</v>
      </c>
      <c r="K13" s="100">
        <f t="shared" ref="K13:K26" si="5">ROUND(J13*$B$6,4)</f>
        <v>9977040</v>
      </c>
      <c r="L13" s="98"/>
      <c r="M13" s="98">
        <v>4.9800000000000004</v>
      </c>
      <c r="N13" s="99"/>
      <c r="O13" s="98"/>
      <c r="P13" s="99">
        <f>ROUND((M13+N13+O13)*19/100,4)</f>
        <v>0.94620000000000004</v>
      </c>
      <c r="Q13" s="98"/>
      <c r="R13" s="99">
        <f t="shared" ref="R13:R26" si="6">ROUND((M13+N13+O13)*25/100,4)</f>
        <v>1.2450000000000001</v>
      </c>
      <c r="S13" s="99">
        <f t="shared" ref="S13:S26" si="7">ROUND(SUM(M13:R13),4)</f>
        <v>7.1711999999999998</v>
      </c>
      <c r="T13" s="100">
        <f t="shared" ref="T13:T26" si="8">ROUND(S13*$B$6,0)</f>
        <v>10685088</v>
      </c>
      <c r="U13" s="141" t="s">
        <v>31</v>
      </c>
      <c r="V13" s="98">
        <f t="shared" si="2"/>
        <v>0.33000000000000007</v>
      </c>
      <c r="W13" s="99"/>
      <c r="X13" s="98"/>
      <c r="Y13" s="99">
        <f t="shared" si="2"/>
        <v>6.2700000000000089E-2</v>
      </c>
      <c r="Z13" s="98"/>
      <c r="AA13" s="98"/>
      <c r="AB13" s="99">
        <f t="shared" ref="AB13:AB26" si="9">R13-I13</f>
        <v>8.2500000000000018E-2</v>
      </c>
      <c r="AC13" s="99">
        <f t="shared" ref="AC13:AC26" si="10">SUM(V13:AB13)</f>
        <v>0.47520000000000018</v>
      </c>
      <c r="AD13" s="100">
        <f t="shared" ref="AD13:AD26" si="11">AC13*$B$6</f>
        <v>708048.00000000023</v>
      </c>
      <c r="AE13" s="84" t="s">
        <v>384</v>
      </c>
    </row>
    <row r="14" spans="1:31" ht="39.75" customHeight="1" x14ac:dyDescent="0.25">
      <c r="A14" s="96">
        <v>3</v>
      </c>
      <c r="B14" s="97" t="s">
        <v>317</v>
      </c>
      <c r="C14" s="96"/>
      <c r="D14" s="98">
        <v>3.99</v>
      </c>
      <c r="E14" s="99"/>
      <c r="F14" s="98"/>
      <c r="G14" s="99">
        <f>ROUND((D14+E14+F14)*17/100,4)</f>
        <v>0.67830000000000001</v>
      </c>
      <c r="H14" s="98"/>
      <c r="I14" s="99">
        <f t="shared" si="3"/>
        <v>0.99750000000000005</v>
      </c>
      <c r="J14" s="99">
        <f t="shared" si="4"/>
        <v>5.6657999999999999</v>
      </c>
      <c r="K14" s="100">
        <f t="shared" si="5"/>
        <v>8442042</v>
      </c>
      <c r="L14" s="98"/>
      <c r="M14" s="98">
        <v>4.32</v>
      </c>
      <c r="N14" s="99"/>
      <c r="O14" s="98"/>
      <c r="P14" s="99">
        <f>ROUND((M14+N14+O14)*17/100,4)</f>
        <v>0.73440000000000005</v>
      </c>
      <c r="Q14" s="98"/>
      <c r="R14" s="99">
        <f t="shared" si="6"/>
        <v>1.08</v>
      </c>
      <c r="S14" s="99">
        <f t="shared" si="7"/>
        <v>6.1344000000000003</v>
      </c>
      <c r="T14" s="100">
        <f t="shared" si="8"/>
        <v>9140256</v>
      </c>
      <c r="U14" s="141" t="s">
        <v>31</v>
      </c>
      <c r="V14" s="98">
        <f t="shared" si="2"/>
        <v>0.33000000000000007</v>
      </c>
      <c r="W14" s="99"/>
      <c r="X14" s="98"/>
      <c r="Y14" s="99">
        <f t="shared" si="2"/>
        <v>5.6100000000000039E-2</v>
      </c>
      <c r="Z14" s="98"/>
      <c r="AA14" s="98"/>
      <c r="AB14" s="99">
        <f t="shared" si="9"/>
        <v>8.2500000000000018E-2</v>
      </c>
      <c r="AC14" s="99">
        <f t="shared" si="10"/>
        <v>0.46860000000000013</v>
      </c>
      <c r="AD14" s="100">
        <f t="shared" si="11"/>
        <v>698214.00000000023</v>
      </c>
      <c r="AE14" s="84" t="s">
        <v>384</v>
      </c>
    </row>
    <row r="15" spans="1:31" ht="39.75" customHeight="1" x14ac:dyDescent="0.25">
      <c r="A15" s="96">
        <v>4</v>
      </c>
      <c r="B15" s="97" t="s">
        <v>303</v>
      </c>
      <c r="C15" s="96"/>
      <c r="D15" s="98">
        <v>4.6500000000000004</v>
      </c>
      <c r="E15" s="99"/>
      <c r="F15" s="98"/>
      <c r="G15" s="99">
        <f>ROUND((D15+E15+F15)*21/100,4)</f>
        <v>0.97650000000000003</v>
      </c>
      <c r="H15" s="98"/>
      <c r="I15" s="99">
        <f t="shared" si="3"/>
        <v>1.1625000000000001</v>
      </c>
      <c r="J15" s="99">
        <f t="shared" si="4"/>
        <v>6.7889999999999997</v>
      </c>
      <c r="K15" s="100">
        <f t="shared" si="5"/>
        <v>10115610</v>
      </c>
      <c r="L15" s="98"/>
      <c r="M15" s="98">
        <v>4.9800000000000004</v>
      </c>
      <c r="N15" s="99"/>
      <c r="O15" s="98"/>
      <c r="P15" s="99">
        <f>ROUND((M15+N15+O15)*21/100,4)</f>
        <v>1.0458000000000001</v>
      </c>
      <c r="Q15" s="98"/>
      <c r="R15" s="99">
        <f t="shared" si="6"/>
        <v>1.2450000000000001</v>
      </c>
      <c r="S15" s="99">
        <f t="shared" si="7"/>
        <v>7.2708000000000004</v>
      </c>
      <c r="T15" s="100">
        <f t="shared" si="8"/>
        <v>10833492</v>
      </c>
      <c r="U15" s="141" t="s">
        <v>31</v>
      </c>
      <c r="V15" s="98">
        <f t="shared" si="2"/>
        <v>0.33000000000000007</v>
      </c>
      <c r="W15" s="99"/>
      <c r="X15" s="98"/>
      <c r="Y15" s="99">
        <f t="shared" si="2"/>
        <v>6.9300000000000028E-2</v>
      </c>
      <c r="Z15" s="98"/>
      <c r="AA15" s="98"/>
      <c r="AB15" s="99">
        <f t="shared" si="9"/>
        <v>8.2500000000000018E-2</v>
      </c>
      <c r="AC15" s="99">
        <f t="shared" si="10"/>
        <v>0.48180000000000012</v>
      </c>
      <c r="AD15" s="100">
        <f t="shared" si="11"/>
        <v>717882.00000000012</v>
      </c>
      <c r="AE15" s="84" t="s">
        <v>384</v>
      </c>
    </row>
    <row r="16" spans="1:31" ht="39.75" customHeight="1" x14ac:dyDescent="0.25">
      <c r="A16" s="96">
        <v>5</v>
      </c>
      <c r="B16" s="97" t="s">
        <v>318</v>
      </c>
      <c r="C16" s="96"/>
      <c r="D16" s="98">
        <v>4.6500000000000004</v>
      </c>
      <c r="E16" s="99"/>
      <c r="F16" s="98"/>
      <c r="G16" s="99">
        <f>ROUND((D16+E16+F16)*20/100,4)</f>
        <v>0.93</v>
      </c>
      <c r="H16" s="98"/>
      <c r="I16" s="99">
        <f t="shared" si="3"/>
        <v>1.1625000000000001</v>
      </c>
      <c r="J16" s="99">
        <f t="shared" si="4"/>
        <v>6.7424999999999997</v>
      </c>
      <c r="K16" s="100">
        <f t="shared" si="5"/>
        <v>10046325</v>
      </c>
      <c r="L16" s="98"/>
      <c r="M16" s="98">
        <v>4.9800000000000004</v>
      </c>
      <c r="N16" s="99"/>
      <c r="O16" s="98"/>
      <c r="P16" s="99">
        <f>ROUND((M16+N16+O16)*20/100,4)</f>
        <v>0.996</v>
      </c>
      <c r="Q16" s="98"/>
      <c r="R16" s="99">
        <f t="shared" si="6"/>
        <v>1.2450000000000001</v>
      </c>
      <c r="S16" s="99">
        <f t="shared" si="7"/>
        <v>7.2210000000000001</v>
      </c>
      <c r="T16" s="100">
        <f t="shared" si="8"/>
        <v>10759290</v>
      </c>
      <c r="U16" s="141" t="s">
        <v>31</v>
      </c>
      <c r="V16" s="98">
        <f t="shared" si="2"/>
        <v>0.33000000000000007</v>
      </c>
      <c r="W16" s="99"/>
      <c r="X16" s="98"/>
      <c r="Y16" s="99">
        <f t="shared" si="2"/>
        <v>6.5999999999999948E-2</v>
      </c>
      <c r="Z16" s="98"/>
      <c r="AA16" s="98"/>
      <c r="AB16" s="99">
        <f t="shared" si="9"/>
        <v>8.2500000000000018E-2</v>
      </c>
      <c r="AC16" s="99">
        <f t="shared" si="10"/>
        <v>0.47850000000000004</v>
      </c>
      <c r="AD16" s="100">
        <f t="shared" si="11"/>
        <v>712965</v>
      </c>
      <c r="AE16" s="84" t="s">
        <v>384</v>
      </c>
    </row>
    <row r="17" spans="1:31" ht="39.75" customHeight="1" x14ac:dyDescent="0.25">
      <c r="A17" s="96">
        <v>6</v>
      </c>
      <c r="B17" s="97" t="s">
        <v>257</v>
      </c>
      <c r="C17" s="96"/>
      <c r="D17" s="98">
        <v>3.99</v>
      </c>
      <c r="E17" s="99"/>
      <c r="F17" s="98">
        <v>0.25</v>
      </c>
      <c r="G17" s="99">
        <f>ROUND((D17+E17+F17)*16/100,4)</f>
        <v>0.6784</v>
      </c>
      <c r="H17" s="98"/>
      <c r="I17" s="99">
        <f t="shared" si="3"/>
        <v>1.06</v>
      </c>
      <c r="J17" s="99">
        <f t="shared" si="4"/>
        <v>5.9783999999999997</v>
      </c>
      <c r="K17" s="100">
        <f t="shared" si="5"/>
        <v>8907816</v>
      </c>
      <c r="L17" s="98"/>
      <c r="M17" s="98">
        <v>4.32</v>
      </c>
      <c r="N17" s="99"/>
      <c r="O17" s="98">
        <v>0.25</v>
      </c>
      <c r="P17" s="99">
        <f>ROUND((M17+N17+O17)*16/100,4)</f>
        <v>0.73119999999999996</v>
      </c>
      <c r="Q17" s="98"/>
      <c r="R17" s="99">
        <f t="shared" si="6"/>
        <v>1.1425000000000001</v>
      </c>
      <c r="S17" s="99">
        <f t="shared" si="7"/>
        <v>6.4436999999999998</v>
      </c>
      <c r="T17" s="100">
        <f t="shared" si="8"/>
        <v>9601113</v>
      </c>
      <c r="U17" s="141" t="s">
        <v>31</v>
      </c>
      <c r="V17" s="98">
        <f t="shared" si="2"/>
        <v>0.33000000000000007</v>
      </c>
      <c r="W17" s="99"/>
      <c r="X17" s="98"/>
      <c r="Y17" s="99">
        <f t="shared" si="2"/>
        <v>5.2799999999999958E-2</v>
      </c>
      <c r="Z17" s="98"/>
      <c r="AA17" s="98"/>
      <c r="AB17" s="99">
        <f t="shared" si="9"/>
        <v>8.2500000000000018E-2</v>
      </c>
      <c r="AC17" s="99">
        <f t="shared" si="10"/>
        <v>0.46530000000000005</v>
      </c>
      <c r="AD17" s="100">
        <f t="shared" si="11"/>
        <v>693297.00000000012</v>
      </c>
      <c r="AE17" s="84" t="s">
        <v>384</v>
      </c>
    </row>
    <row r="18" spans="1:31" ht="39.75" customHeight="1" x14ac:dyDescent="0.25">
      <c r="A18" s="96">
        <v>7</v>
      </c>
      <c r="B18" s="97" t="s">
        <v>273</v>
      </c>
      <c r="C18" s="96"/>
      <c r="D18" s="98">
        <v>3.66</v>
      </c>
      <c r="E18" s="99"/>
      <c r="F18" s="98"/>
      <c r="G18" s="99">
        <f>ROUND((D18+E18+F18)*15/100,4)</f>
        <v>0.54900000000000004</v>
      </c>
      <c r="H18" s="98"/>
      <c r="I18" s="99">
        <f t="shared" si="3"/>
        <v>0.91500000000000004</v>
      </c>
      <c r="J18" s="99">
        <f t="shared" si="4"/>
        <v>5.1239999999999997</v>
      </c>
      <c r="K18" s="100">
        <f t="shared" si="5"/>
        <v>7634760</v>
      </c>
      <c r="L18" s="98"/>
      <c r="M18" s="98">
        <v>3.99</v>
      </c>
      <c r="N18" s="99"/>
      <c r="O18" s="98"/>
      <c r="P18" s="99">
        <f>ROUND((M18+N18+O18)*15/100,4)</f>
        <v>0.59850000000000003</v>
      </c>
      <c r="Q18" s="98"/>
      <c r="R18" s="99">
        <f t="shared" si="6"/>
        <v>0.99750000000000005</v>
      </c>
      <c r="S18" s="99">
        <f t="shared" si="7"/>
        <v>5.5860000000000003</v>
      </c>
      <c r="T18" s="100">
        <f t="shared" si="8"/>
        <v>8323140</v>
      </c>
      <c r="U18" s="141" t="s">
        <v>31</v>
      </c>
      <c r="V18" s="98">
        <f t="shared" si="2"/>
        <v>0.33000000000000007</v>
      </c>
      <c r="W18" s="99"/>
      <c r="X18" s="98"/>
      <c r="Y18" s="99">
        <f t="shared" si="2"/>
        <v>4.9499999999999988E-2</v>
      </c>
      <c r="Z18" s="98"/>
      <c r="AA18" s="98"/>
      <c r="AB18" s="99">
        <f t="shared" si="9"/>
        <v>8.2500000000000018E-2</v>
      </c>
      <c r="AC18" s="99">
        <f t="shared" si="10"/>
        <v>0.46200000000000008</v>
      </c>
      <c r="AD18" s="100">
        <f t="shared" si="11"/>
        <v>688380.00000000012</v>
      </c>
      <c r="AE18" s="84" t="s">
        <v>384</v>
      </c>
    </row>
    <row r="19" spans="1:31" ht="39.75" customHeight="1" x14ac:dyDescent="0.25">
      <c r="A19" s="96">
        <v>8</v>
      </c>
      <c r="B19" s="97" t="s">
        <v>261</v>
      </c>
      <c r="C19" s="96"/>
      <c r="D19" s="98">
        <v>3.99</v>
      </c>
      <c r="E19" s="99"/>
      <c r="F19" s="98"/>
      <c r="G19" s="99">
        <f>ROUND((D19+E19+F19)*17/100,4)</f>
        <v>0.67830000000000001</v>
      </c>
      <c r="H19" s="98"/>
      <c r="I19" s="99">
        <f t="shared" si="3"/>
        <v>0.99750000000000005</v>
      </c>
      <c r="J19" s="99">
        <f t="shared" si="4"/>
        <v>5.6657999999999999</v>
      </c>
      <c r="K19" s="100">
        <f t="shared" si="5"/>
        <v>8442042</v>
      </c>
      <c r="L19" s="98"/>
      <c r="M19" s="98">
        <v>4.32</v>
      </c>
      <c r="N19" s="99"/>
      <c r="O19" s="98"/>
      <c r="P19" s="99">
        <f>ROUND((M19+N19+O19)*17/100,4)</f>
        <v>0.73440000000000005</v>
      </c>
      <c r="Q19" s="98"/>
      <c r="R19" s="99">
        <f t="shared" si="6"/>
        <v>1.08</v>
      </c>
      <c r="S19" s="99">
        <f t="shared" si="7"/>
        <v>6.1344000000000003</v>
      </c>
      <c r="T19" s="100">
        <f t="shared" si="8"/>
        <v>9140256</v>
      </c>
      <c r="U19" s="141" t="s">
        <v>31</v>
      </c>
      <c r="V19" s="98">
        <f t="shared" si="2"/>
        <v>0.33000000000000007</v>
      </c>
      <c r="W19" s="99"/>
      <c r="X19" s="98"/>
      <c r="Y19" s="99">
        <f t="shared" si="2"/>
        <v>5.6100000000000039E-2</v>
      </c>
      <c r="Z19" s="98"/>
      <c r="AA19" s="98"/>
      <c r="AB19" s="99">
        <f t="shared" si="9"/>
        <v>8.2500000000000018E-2</v>
      </c>
      <c r="AC19" s="99">
        <f t="shared" si="10"/>
        <v>0.46860000000000013</v>
      </c>
      <c r="AD19" s="100">
        <f t="shared" si="11"/>
        <v>698214.00000000023</v>
      </c>
      <c r="AE19" s="84" t="s">
        <v>384</v>
      </c>
    </row>
    <row r="20" spans="1:31" ht="39.75" customHeight="1" x14ac:dyDescent="0.25">
      <c r="A20" s="96">
        <v>9</v>
      </c>
      <c r="B20" s="97" t="s">
        <v>279</v>
      </c>
      <c r="C20" s="96"/>
      <c r="D20" s="98">
        <v>3.99</v>
      </c>
      <c r="E20" s="99"/>
      <c r="F20" s="98">
        <v>0.35</v>
      </c>
      <c r="G20" s="99">
        <f>ROUND((D20+E20+F20)*17/100,4)</f>
        <v>0.73780000000000001</v>
      </c>
      <c r="H20" s="98"/>
      <c r="I20" s="99">
        <f t="shared" si="3"/>
        <v>1.085</v>
      </c>
      <c r="J20" s="99">
        <f t="shared" si="4"/>
        <v>6.1627999999999998</v>
      </c>
      <c r="K20" s="100">
        <f t="shared" si="5"/>
        <v>9182572</v>
      </c>
      <c r="L20" s="98"/>
      <c r="M20" s="98">
        <v>4.32</v>
      </c>
      <c r="N20" s="99"/>
      <c r="O20" s="98">
        <v>0.35</v>
      </c>
      <c r="P20" s="99">
        <f>ROUND((M20+N20+O20)*17/100,4)</f>
        <v>0.79390000000000005</v>
      </c>
      <c r="Q20" s="98"/>
      <c r="R20" s="99">
        <f t="shared" si="6"/>
        <v>1.1675</v>
      </c>
      <c r="S20" s="99">
        <f t="shared" si="7"/>
        <v>6.6314000000000002</v>
      </c>
      <c r="T20" s="100">
        <f t="shared" si="8"/>
        <v>9880786</v>
      </c>
      <c r="U20" s="141" t="s">
        <v>31</v>
      </c>
      <c r="V20" s="98">
        <f t="shared" si="2"/>
        <v>0.33000000000000007</v>
      </c>
      <c r="W20" s="99"/>
      <c r="X20" s="98"/>
      <c r="Y20" s="99">
        <f t="shared" si="2"/>
        <v>5.6100000000000039E-2</v>
      </c>
      <c r="Z20" s="98"/>
      <c r="AA20" s="98"/>
      <c r="AB20" s="99">
        <f t="shared" si="9"/>
        <v>8.2500000000000018E-2</v>
      </c>
      <c r="AC20" s="99">
        <f t="shared" si="10"/>
        <v>0.46860000000000013</v>
      </c>
      <c r="AD20" s="100">
        <f t="shared" si="11"/>
        <v>698214.00000000023</v>
      </c>
      <c r="AE20" s="84" t="s">
        <v>384</v>
      </c>
    </row>
    <row r="21" spans="1:31" ht="39.75" customHeight="1" x14ac:dyDescent="0.25">
      <c r="A21" s="96">
        <v>10</v>
      </c>
      <c r="B21" s="97" t="s">
        <v>274</v>
      </c>
      <c r="C21" s="96"/>
      <c r="D21" s="98">
        <v>3.66</v>
      </c>
      <c r="E21" s="99"/>
      <c r="F21" s="98"/>
      <c r="G21" s="99">
        <f>ROUND((D21+E21+F21)*15/100,4)</f>
        <v>0.54900000000000004</v>
      </c>
      <c r="H21" s="98"/>
      <c r="I21" s="99">
        <f t="shared" si="3"/>
        <v>0.91500000000000004</v>
      </c>
      <c r="J21" s="99">
        <f t="shared" si="4"/>
        <v>5.1239999999999997</v>
      </c>
      <c r="K21" s="100">
        <f t="shared" si="5"/>
        <v>7634760</v>
      </c>
      <c r="L21" s="98"/>
      <c r="M21" s="98">
        <v>3.99</v>
      </c>
      <c r="N21" s="99"/>
      <c r="O21" s="98"/>
      <c r="P21" s="99">
        <f>ROUND((M21+N21+O21)*15/100,4)</f>
        <v>0.59850000000000003</v>
      </c>
      <c r="Q21" s="98"/>
      <c r="R21" s="99">
        <f t="shared" si="6"/>
        <v>0.99750000000000005</v>
      </c>
      <c r="S21" s="99">
        <f t="shared" si="7"/>
        <v>5.5860000000000003</v>
      </c>
      <c r="T21" s="100">
        <f t="shared" si="8"/>
        <v>8323140</v>
      </c>
      <c r="U21" s="141" t="s">
        <v>31</v>
      </c>
      <c r="V21" s="98">
        <f t="shared" si="2"/>
        <v>0.33000000000000007</v>
      </c>
      <c r="W21" s="99"/>
      <c r="X21" s="98"/>
      <c r="Y21" s="99">
        <f t="shared" si="2"/>
        <v>4.9499999999999988E-2</v>
      </c>
      <c r="Z21" s="98"/>
      <c r="AA21" s="98"/>
      <c r="AB21" s="99">
        <f t="shared" si="9"/>
        <v>8.2500000000000018E-2</v>
      </c>
      <c r="AC21" s="99">
        <f t="shared" si="10"/>
        <v>0.46200000000000008</v>
      </c>
      <c r="AD21" s="100">
        <f t="shared" si="11"/>
        <v>688380.00000000012</v>
      </c>
      <c r="AE21" s="84" t="s">
        <v>384</v>
      </c>
    </row>
    <row r="22" spans="1:31" ht="39.75" customHeight="1" x14ac:dyDescent="0.25">
      <c r="A22" s="96">
        <v>11</v>
      </c>
      <c r="B22" s="97" t="s">
        <v>306</v>
      </c>
      <c r="C22" s="96"/>
      <c r="D22" s="98">
        <v>4.32</v>
      </c>
      <c r="E22" s="99"/>
      <c r="F22" s="98"/>
      <c r="G22" s="99">
        <f>ROUND((D22+E22+F22)*20/100,4)</f>
        <v>0.86399999999999999</v>
      </c>
      <c r="H22" s="98"/>
      <c r="I22" s="99">
        <f t="shared" si="3"/>
        <v>1.08</v>
      </c>
      <c r="J22" s="99">
        <f t="shared" si="4"/>
        <v>6.2640000000000002</v>
      </c>
      <c r="K22" s="100">
        <f t="shared" si="5"/>
        <v>9333360</v>
      </c>
      <c r="L22" s="98"/>
      <c r="M22" s="98">
        <v>4.6500000000000004</v>
      </c>
      <c r="N22" s="99"/>
      <c r="O22" s="98"/>
      <c r="P22" s="99">
        <f>ROUND((M22+N22+O22)*20/100,4)</f>
        <v>0.93</v>
      </c>
      <c r="Q22" s="98"/>
      <c r="R22" s="99">
        <f t="shared" si="6"/>
        <v>1.1625000000000001</v>
      </c>
      <c r="S22" s="99">
        <f t="shared" si="7"/>
        <v>6.7424999999999997</v>
      </c>
      <c r="T22" s="100">
        <f t="shared" si="8"/>
        <v>10046325</v>
      </c>
      <c r="U22" s="141" t="s">
        <v>31</v>
      </c>
      <c r="V22" s="98">
        <f t="shared" si="2"/>
        <v>0.33000000000000007</v>
      </c>
      <c r="W22" s="99"/>
      <c r="X22" s="98"/>
      <c r="Y22" s="99">
        <f t="shared" si="2"/>
        <v>6.6000000000000059E-2</v>
      </c>
      <c r="Z22" s="98"/>
      <c r="AA22" s="98"/>
      <c r="AB22" s="99">
        <f t="shared" si="9"/>
        <v>8.2500000000000018E-2</v>
      </c>
      <c r="AC22" s="99">
        <f t="shared" si="10"/>
        <v>0.47850000000000015</v>
      </c>
      <c r="AD22" s="100">
        <f t="shared" si="11"/>
        <v>712965.00000000023</v>
      </c>
      <c r="AE22" s="84" t="s">
        <v>384</v>
      </c>
    </row>
    <row r="23" spans="1:31" ht="39.75" customHeight="1" x14ac:dyDescent="0.25">
      <c r="A23" s="96">
        <v>12</v>
      </c>
      <c r="B23" s="97" t="s">
        <v>389</v>
      </c>
      <c r="C23" s="96"/>
      <c r="D23" s="98">
        <v>3.66</v>
      </c>
      <c r="E23" s="99"/>
      <c r="F23" s="98"/>
      <c r="G23" s="99"/>
      <c r="H23" s="98"/>
      <c r="I23" s="99"/>
      <c r="J23" s="99">
        <f t="shared" si="4"/>
        <v>3.66</v>
      </c>
      <c r="K23" s="100">
        <f t="shared" si="5"/>
        <v>5453400</v>
      </c>
      <c r="L23" s="98"/>
      <c r="M23" s="98">
        <v>3.99</v>
      </c>
      <c r="N23" s="99"/>
      <c r="O23" s="98"/>
      <c r="P23" s="99"/>
      <c r="Q23" s="98"/>
      <c r="R23" s="99"/>
      <c r="S23" s="99">
        <f t="shared" si="7"/>
        <v>3.99</v>
      </c>
      <c r="T23" s="100">
        <f t="shared" si="8"/>
        <v>5945100</v>
      </c>
      <c r="U23" s="141" t="s">
        <v>80</v>
      </c>
      <c r="V23" s="98">
        <f t="shared" si="2"/>
        <v>0.33000000000000007</v>
      </c>
      <c r="W23" s="99"/>
      <c r="X23" s="98"/>
      <c r="Y23" s="99">
        <f t="shared" si="2"/>
        <v>0</v>
      </c>
      <c r="Z23" s="98"/>
      <c r="AA23" s="98"/>
      <c r="AB23" s="99">
        <f t="shared" si="9"/>
        <v>0</v>
      </c>
      <c r="AC23" s="99">
        <f t="shared" si="10"/>
        <v>0.33000000000000007</v>
      </c>
      <c r="AD23" s="100">
        <f t="shared" si="11"/>
        <v>491700.00000000012</v>
      </c>
      <c r="AE23" s="84" t="s">
        <v>384</v>
      </c>
    </row>
    <row r="24" spans="1:31" ht="39.75" customHeight="1" x14ac:dyDescent="0.25">
      <c r="A24" s="96">
        <v>13</v>
      </c>
      <c r="B24" s="97" t="s">
        <v>399</v>
      </c>
      <c r="C24" s="96"/>
      <c r="D24" s="98">
        <v>4.8899999999999997</v>
      </c>
      <c r="E24" s="99">
        <f>D24*5/100</f>
        <v>0.2445</v>
      </c>
      <c r="F24" s="98"/>
      <c r="G24" s="99"/>
      <c r="H24" s="98"/>
      <c r="I24" s="99"/>
      <c r="J24" s="99">
        <f t="shared" si="4"/>
        <v>5.1345000000000001</v>
      </c>
      <c r="K24" s="100">
        <f t="shared" si="5"/>
        <v>7650405</v>
      </c>
      <c r="L24" s="98"/>
      <c r="M24" s="98">
        <v>4.8899999999999997</v>
      </c>
      <c r="N24" s="99">
        <f>M24*6/100</f>
        <v>0.29339999999999994</v>
      </c>
      <c r="O24" s="98"/>
      <c r="P24" s="99"/>
      <c r="Q24" s="98"/>
      <c r="R24" s="99"/>
      <c r="S24" s="99">
        <f t="shared" si="7"/>
        <v>5.1833999999999998</v>
      </c>
      <c r="T24" s="100">
        <f t="shared" si="8"/>
        <v>7723266</v>
      </c>
      <c r="U24" s="141" t="s">
        <v>82</v>
      </c>
      <c r="V24" s="98">
        <f t="shared" si="2"/>
        <v>0</v>
      </c>
      <c r="W24" s="99">
        <f>N24-E24</f>
        <v>4.8899999999999944E-2</v>
      </c>
      <c r="X24" s="98"/>
      <c r="Y24" s="99">
        <f t="shared" si="2"/>
        <v>0</v>
      </c>
      <c r="Z24" s="98"/>
      <c r="AA24" s="98"/>
      <c r="AB24" s="99">
        <f t="shared" si="9"/>
        <v>0</v>
      </c>
      <c r="AC24" s="99">
        <f t="shared" si="10"/>
        <v>4.8899999999999944E-2</v>
      </c>
      <c r="AD24" s="100">
        <f t="shared" si="11"/>
        <v>72860.999999999913</v>
      </c>
      <c r="AE24" s="84" t="s">
        <v>400</v>
      </c>
    </row>
    <row r="25" spans="1:31" ht="39.75" customHeight="1" x14ac:dyDescent="0.25">
      <c r="A25" s="96">
        <v>14</v>
      </c>
      <c r="B25" s="97" t="s">
        <v>403</v>
      </c>
      <c r="C25" s="96"/>
      <c r="D25" s="98">
        <v>4.9800000000000004</v>
      </c>
      <c r="E25" s="99">
        <f>D25*7/100</f>
        <v>0.34860000000000002</v>
      </c>
      <c r="F25" s="98"/>
      <c r="G25" s="99">
        <f>ROUND((D25+E25+F25)*29/100,4)</f>
        <v>1.5452999999999999</v>
      </c>
      <c r="H25" s="98"/>
      <c r="I25" s="99">
        <f t="shared" si="3"/>
        <v>1.3322000000000001</v>
      </c>
      <c r="J25" s="99">
        <f t="shared" si="4"/>
        <v>8.2060999999999993</v>
      </c>
      <c r="K25" s="100">
        <f t="shared" si="5"/>
        <v>12227089</v>
      </c>
      <c r="L25" s="98"/>
      <c r="M25" s="98">
        <v>4.9800000000000004</v>
      </c>
      <c r="N25" s="99">
        <f>M25*7/100</f>
        <v>0.34860000000000002</v>
      </c>
      <c r="O25" s="98"/>
      <c r="P25" s="99">
        <f>ROUND((M25+N25+O25)*30/100,4)</f>
        <v>1.5986</v>
      </c>
      <c r="Q25" s="98"/>
      <c r="R25" s="99">
        <f t="shared" si="6"/>
        <v>1.3322000000000001</v>
      </c>
      <c r="S25" s="99">
        <f t="shared" si="7"/>
        <v>8.2593999999999994</v>
      </c>
      <c r="T25" s="100">
        <f t="shared" si="8"/>
        <v>12306506</v>
      </c>
      <c r="U25" s="141" t="s">
        <v>31</v>
      </c>
      <c r="V25" s="98">
        <f t="shared" si="2"/>
        <v>0</v>
      </c>
      <c r="W25" s="99"/>
      <c r="X25" s="98"/>
      <c r="Y25" s="99">
        <f t="shared" si="2"/>
        <v>5.3300000000000125E-2</v>
      </c>
      <c r="Z25" s="98"/>
      <c r="AA25" s="98"/>
      <c r="AB25" s="99">
        <f t="shared" si="9"/>
        <v>0</v>
      </c>
      <c r="AC25" s="99">
        <f t="shared" si="10"/>
        <v>5.3300000000000125E-2</v>
      </c>
      <c r="AD25" s="100">
        <f t="shared" si="11"/>
        <v>79417.000000000189</v>
      </c>
      <c r="AE25" s="84" t="s">
        <v>404</v>
      </c>
    </row>
    <row r="26" spans="1:31" ht="39.75" customHeight="1" x14ac:dyDescent="0.25">
      <c r="A26" s="96">
        <v>15</v>
      </c>
      <c r="B26" s="97" t="s">
        <v>405</v>
      </c>
      <c r="C26" s="96"/>
      <c r="D26" s="98">
        <v>4.9800000000000004</v>
      </c>
      <c r="E26" s="99"/>
      <c r="F26" s="98"/>
      <c r="G26" s="99">
        <f>ROUND((D26+E26+F26)*19/100,4)</f>
        <v>0.94620000000000004</v>
      </c>
      <c r="H26" s="98"/>
      <c r="I26" s="99">
        <f t="shared" si="3"/>
        <v>1.2450000000000001</v>
      </c>
      <c r="J26" s="99">
        <f t="shared" si="4"/>
        <v>7.1711999999999998</v>
      </c>
      <c r="K26" s="100">
        <f t="shared" si="5"/>
        <v>10685088</v>
      </c>
      <c r="L26" s="98"/>
      <c r="M26" s="98">
        <v>4.9800000000000004</v>
      </c>
      <c r="N26" s="99"/>
      <c r="O26" s="98"/>
      <c r="P26" s="99">
        <f t="shared" ref="P26" si="12">ROUND((M26+N26+O26)*20/100,4)</f>
        <v>0.996</v>
      </c>
      <c r="Q26" s="98"/>
      <c r="R26" s="99">
        <f t="shared" si="6"/>
        <v>1.2450000000000001</v>
      </c>
      <c r="S26" s="99">
        <f t="shared" si="7"/>
        <v>7.2210000000000001</v>
      </c>
      <c r="T26" s="100">
        <f t="shared" si="8"/>
        <v>10759290</v>
      </c>
      <c r="U26" s="141" t="s">
        <v>31</v>
      </c>
      <c r="V26" s="98">
        <f t="shared" si="2"/>
        <v>0</v>
      </c>
      <c r="W26" s="99"/>
      <c r="X26" s="98"/>
      <c r="Y26" s="99">
        <f t="shared" si="2"/>
        <v>4.9799999999999955E-2</v>
      </c>
      <c r="Z26" s="98"/>
      <c r="AA26" s="98"/>
      <c r="AB26" s="99">
        <f t="shared" si="9"/>
        <v>0</v>
      </c>
      <c r="AC26" s="99">
        <f t="shared" si="10"/>
        <v>4.9799999999999955E-2</v>
      </c>
      <c r="AD26" s="100">
        <f t="shared" si="11"/>
        <v>74201.999999999927</v>
      </c>
      <c r="AE26" s="84" t="s">
        <v>406</v>
      </c>
    </row>
    <row r="27" spans="1:31" ht="59.25" customHeight="1" x14ac:dyDescent="0.25">
      <c r="A27" s="102"/>
      <c r="B27" s="92" t="s">
        <v>33</v>
      </c>
      <c r="C27" s="69"/>
      <c r="D27" s="106">
        <f t="shared" ref="D27:AD27" si="13">SUM(D28:D68)</f>
        <v>114</v>
      </c>
      <c r="E27" s="106">
        <f t="shared" si="13"/>
        <v>0</v>
      </c>
      <c r="F27" s="106">
        <f t="shared" si="13"/>
        <v>2.85</v>
      </c>
      <c r="G27" s="71">
        <f t="shared" si="13"/>
        <v>8.4062999999999999</v>
      </c>
      <c r="H27" s="106">
        <f t="shared" si="13"/>
        <v>0</v>
      </c>
      <c r="I27" s="71">
        <f t="shared" si="13"/>
        <v>31.116000000000003</v>
      </c>
      <c r="J27" s="71">
        <f t="shared" si="13"/>
        <v>156.3723</v>
      </c>
      <c r="K27" s="70">
        <f t="shared" si="13"/>
        <v>232994727</v>
      </c>
      <c r="L27" s="106">
        <f t="shared" si="13"/>
        <v>0</v>
      </c>
      <c r="M27" s="106">
        <f t="shared" si="13"/>
        <v>127.64999999999998</v>
      </c>
      <c r="N27" s="106">
        <f t="shared" si="13"/>
        <v>0</v>
      </c>
      <c r="O27" s="106">
        <f t="shared" si="13"/>
        <v>2.85</v>
      </c>
      <c r="P27" s="71">
        <f t="shared" si="13"/>
        <v>9.296599999999998</v>
      </c>
      <c r="Q27" s="106">
        <f t="shared" si="13"/>
        <v>0</v>
      </c>
      <c r="R27" s="71">
        <f t="shared" si="13"/>
        <v>34.201500000000003</v>
      </c>
      <c r="S27" s="71">
        <f t="shared" si="13"/>
        <v>173.99810000000002</v>
      </c>
      <c r="T27" s="70">
        <f t="shared" si="13"/>
        <v>259257169</v>
      </c>
      <c r="U27" s="106">
        <f t="shared" si="13"/>
        <v>0</v>
      </c>
      <c r="V27" s="106">
        <f t="shared" si="13"/>
        <v>13.650000000000002</v>
      </c>
      <c r="W27" s="106">
        <f t="shared" si="13"/>
        <v>0</v>
      </c>
      <c r="X27" s="106">
        <f t="shared" si="13"/>
        <v>0</v>
      </c>
      <c r="Y27" s="71">
        <f t="shared" si="13"/>
        <v>0.8903000000000002</v>
      </c>
      <c r="Z27" s="106">
        <f t="shared" si="13"/>
        <v>0</v>
      </c>
      <c r="AA27" s="106">
        <f t="shared" si="13"/>
        <v>0</v>
      </c>
      <c r="AB27" s="71">
        <f t="shared" si="13"/>
        <v>3.085500000000001</v>
      </c>
      <c r="AC27" s="71">
        <f t="shared" si="13"/>
        <v>17.625799999999998</v>
      </c>
      <c r="AD27" s="70">
        <f t="shared" si="13"/>
        <v>26262442</v>
      </c>
      <c r="AE27" s="106">
        <v>0</v>
      </c>
    </row>
    <row r="28" spans="1:31" ht="36.75" customHeight="1" x14ac:dyDescent="0.25">
      <c r="A28" s="96">
        <v>1</v>
      </c>
      <c r="B28" s="77" t="s">
        <v>349</v>
      </c>
      <c r="C28" s="79"/>
      <c r="D28" s="35">
        <v>3</v>
      </c>
      <c r="E28" s="80"/>
      <c r="F28" s="80"/>
      <c r="G28" s="80">
        <f>ROUND((D28+E28+F28)*9/100,4)</f>
        <v>0.27</v>
      </c>
      <c r="H28" s="81"/>
      <c r="I28" s="80">
        <f>ROUND((D28+E28+F28)*25/100,4)</f>
        <v>0.75</v>
      </c>
      <c r="J28" s="80">
        <f>ROUND(SUM(D28:I28),4)</f>
        <v>4.0199999999999996</v>
      </c>
      <c r="K28" s="76">
        <f>ROUND(J28*$B$6,0)</f>
        <v>5989800</v>
      </c>
      <c r="L28" s="82"/>
      <c r="M28" s="88">
        <v>3.33</v>
      </c>
      <c r="N28" s="80"/>
      <c r="O28" s="80"/>
      <c r="P28" s="80">
        <f>ROUND((M28+N28+O28)*9/100,4)</f>
        <v>0.29970000000000002</v>
      </c>
      <c r="Q28" s="81"/>
      <c r="R28" s="80">
        <f>ROUND((M28+N28+O28)*25/100,4)</f>
        <v>0.83250000000000002</v>
      </c>
      <c r="S28" s="64">
        <f>ROUND(SUM(M28:R28),4)</f>
        <v>4.4622000000000002</v>
      </c>
      <c r="T28" s="83">
        <f>ROUND(S28*$B$6,0)</f>
        <v>6648678</v>
      </c>
      <c r="U28" s="60" t="s">
        <v>34</v>
      </c>
      <c r="V28" s="85">
        <f t="shared" ref="V28:V68" si="14">M28-D28</f>
        <v>0.33000000000000007</v>
      </c>
      <c r="W28" s="85"/>
      <c r="X28" s="85">
        <f>O28-F28</f>
        <v>0</v>
      </c>
      <c r="Y28" s="85">
        <f>P28-G28</f>
        <v>2.9700000000000004E-2</v>
      </c>
      <c r="Z28" s="85"/>
      <c r="AA28" s="85"/>
      <c r="AB28" s="85">
        <f>R28-I28</f>
        <v>8.2500000000000018E-2</v>
      </c>
      <c r="AC28" s="85">
        <f>SUM(V28:AB28)</f>
        <v>0.44220000000000009</v>
      </c>
      <c r="AD28" s="86">
        <f>AC28*$B$6</f>
        <v>658878.00000000012</v>
      </c>
      <c r="AE28" s="84" t="s">
        <v>384</v>
      </c>
    </row>
    <row r="29" spans="1:31" ht="35.25" customHeight="1" x14ac:dyDescent="0.25">
      <c r="A29" s="96">
        <v>2</v>
      </c>
      <c r="B29" s="77" t="s">
        <v>330</v>
      </c>
      <c r="C29" s="79"/>
      <c r="D29" s="35">
        <v>3</v>
      </c>
      <c r="E29" s="80"/>
      <c r="F29" s="80"/>
      <c r="G29" s="80">
        <f>ROUND((D29+E29+F29)*9/100,4)</f>
        <v>0.27</v>
      </c>
      <c r="H29" s="81"/>
      <c r="I29" s="80">
        <f t="shared" ref="I29:I68" si="15">ROUND((D29+E29+F29)*25/100,4)</f>
        <v>0.75</v>
      </c>
      <c r="J29" s="80">
        <f t="shared" ref="J29:J68" si="16">ROUND(SUM(D29:I29),4)</f>
        <v>4.0199999999999996</v>
      </c>
      <c r="K29" s="76">
        <f t="shared" ref="K29:K68" si="17">ROUND(J29*$B$6,0)</f>
        <v>5989800</v>
      </c>
      <c r="L29" s="82"/>
      <c r="M29" s="88">
        <v>3.33</v>
      </c>
      <c r="N29" s="80"/>
      <c r="O29" s="80"/>
      <c r="P29" s="80">
        <f>ROUND((M29+N29+O29)*9/100,4)</f>
        <v>0.29970000000000002</v>
      </c>
      <c r="Q29" s="81"/>
      <c r="R29" s="80">
        <f t="shared" ref="R29:R67" si="18">ROUND((M29+N29+O29)*25/100,4)</f>
        <v>0.83250000000000002</v>
      </c>
      <c r="S29" s="64">
        <f t="shared" ref="S29:S68" si="19">ROUND(SUM(M29:R29),4)</f>
        <v>4.4622000000000002</v>
      </c>
      <c r="T29" s="83">
        <f t="shared" ref="T29:T68" si="20">ROUND(S29*$B$6,0)</f>
        <v>6648678</v>
      </c>
      <c r="U29" s="60" t="s">
        <v>34</v>
      </c>
      <c r="V29" s="85">
        <f t="shared" si="14"/>
        <v>0.33000000000000007</v>
      </c>
      <c r="W29" s="85">
        <f>N29-E29</f>
        <v>0</v>
      </c>
      <c r="X29" s="85"/>
      <c r="Y29" s="85">
        <f t="shared" ref="Y29:Y68" si="21">P29-G29</f>
        <v>2.9700000000000004E-2</v>
      </c>
      <c r="Z29" s="85"/>
      <c r="AA29" s="85"/>
      <c r="AB29" s="85">
        <f t="shared" ref="AB29:AB68" si="22">R29-I29</f>
        <v>8.2500000000000018E-2</v>
      </c>
      <c r="AC29" s="85">
        <f t="shared" ref="AC29:AC68" si="23">SUM(V29:AB29)</f>
        <v>0.44220000000000009</v>
      </c>
      <c r="AD29" s="86">
        <f t="shared" ref="AD29:AD68" si="24">AC29*$B$6</f>
        <v>658878.00000000012</v>
      </c>
      <c r="AE29" s="84" t="s">
        <v>384</v>
      </c>
    </row>
    <row r="30" spans="1:31" ht="35.25" customHeight="1" x14ac:dyDescent="0.25">
      <c r="A30" s="96">
        <v>3</v>
      </c>
      <c r="B30" s="77" t="s">
        <v>207</v>
      </c>
      <c r="C30" s="79"/>
      <c r="D30" s="35">
        <v>2.67</v>
      </c>
      <c r="E30" s="80"/>
      <c r="F30" s="80"/>
      <c r="G30" s="80">
        <f>ROUND((D30+E30+F30)*6/100,4)</f>
        <v>0.16020000000000001</v>
      </c>
      <c r="H30" s="81"/>
      <c r="I30" s="80">
        <f t="shared" si="15"/>
        <v>0.66749999999999998</v>
      </c>
      <c r="J30" s="80">
        <f t="shared" si="16"/>
        <v>3.4977</v>
      </c>
      <c r="K30" s="76">
        <f t="shared" si="17"/>
        <v>5211573</v>
      </c>
      <c r="L30" s="82"/>
      <c r="M30" s="88">
        <v>3</v>
      </c>
      <c r="N30" s="80"/>
      <c r="O30" s="80"/>
      <c r="P30" s="80">
        <f>ROUND((M30+N30+O30)*6/100,4)</f>
        <v>0.18</v>
      </c>
      <c r="Q30" s="81"/>
      <c r="R30" s="80">
        <f t="shared" si="18"/>
        <v>0.75</v>
      </c>
      <c r="S30" s="64">
        <f t="shared" si="19"/>
        <v>3.93</v>
      </c>
      <c r="T30" s="83">
        <f t="shared" si="20"/>
        <v>5855700</v>
      </c>
      <c r="U30" s="60" t="s">
        <v>34</v>
      </c>
      <c r="V30" s="85">
        <f t="shared" si="14"/>
        <v>0.33000000000000007</v>
      </c>
      <c r="W30" s="85"/>
      <c r="X30" s="85"/>
      <c r="Y30" s="85">
        <f t="shared" si="21"/>
        <v>1.9799999999999984E-2</v>
      </c>
      <c r="Z30" s="85"/>
      <c r="AA30" s="85"/>
      <c r="AB30" s="85">
        <f t="shared" si="22"/>
        <v>8.2500000000000018E-2</v>
      </c>
      <c r="AC30" s="85">
        <f t="shared" si="23"/>
        <v>0.43230000000000007</v>
      </c>
      <c r="AD30" s="86">
        <f t="shared" si="24"/>
        <v>644127.00000000012</v>
      </c>
      <c r="AE30" s="84" t="s">
        <v>384</v>
      </c>
    </row>
    <row r="31" spans="1:31" ht="35.25" customHeight="1" x14ac:dyDescent="0.25">
      <c r="A31" s="96">
        <v>4</v>
      </c>
      <c r="B31" s="77" t="s">
        <v>346</v>
      </c>
      <c r="C31" s="79"/>
      <c r="D31" s="35">
        <v>3</v>
      </c>
      <c r="E31" s="80"/>
      <c r="F31" s="80"/>
      <c r="G31" s="80">
        <f>ROUND((D31+E31+F31)*9/100,4)</f>
        <v>0.27</v>
      </c>
      <c r="H31" s="81"/>
      <c r="I31" s="80">
        <f t="shared" si="15"/>
        <v>0.75</v>
      </c>
      <c r="J31" s="80">
        <f t="shared" si="16"/>
        <v>4.0199999999999996</v>
      </c>
      <c r="K31" s="76">
        <f t="shared" si="17"/>
        <v>5989800</v>
      </c>
      <c r="L31" s="82"/>
      <c r="M31" s="88">
        <v>3.33</v>
      </c>
      <c r="N31" s="80"/>
      <c r="O31" s="80"/>
      <c r="P31" s="80">
        <f>ROUND((M31+N31+O31)*9/100,4)</f>
        <v>0.29970000000000002</v>
      </c>
      <c r="Q31" s="81"/>
      <c r="R31" s="80">
        <f t="shared" si="18"/>
        <v>0.83250000000000002</v>
      </c>
      <c r="S31" s="64">
        <f t="shared" si="19"/>
        <v>4.4622000000000002</v>
      </c>
      <c r="T31" s="83">
        <f t="shared" si="20"/>
        <v>6648678</v>
      </c>
      <c r="U31" s="60" t="s">
        <v>34</v>
      </c>
      <c r="V31" s="85">
        <f t="shared" si="14"/>
        <v>0.33000000000000007</v>
      </c>
      <c r="W31" s="85"/>
      <c r="X31" s="85"/>
      <c r="Y31" s="85">
        <f t="shared" si="21"/>
        <v>2.9700000000000004E-2</v>
      </c>
      <c r="Z31" s="85"/>
      <c r="AA31" s="85"/>
      <c r="AB31" s="85">
        <f t="shared" si="22"/>
        <v>8.2500000000000018E-2</v>
      </c>
      <c r="AC31" s="85">
        <f t="shared" si="23"/>
        <v>0.44220000000000009</v>
      </c>
      <c r="AD31" s="86">
        <f t="shared" si="24"/>
        <v>658878.00000000012</v>
      </c>
      <c r="AE31" s="84" t="s">
        <v>384</v>
      </c>
    </row>
    <row r="32" spans="1:31" ht="35.25" customHeight="1" x14ac:dyDescent="0.25">
      <c r="A32" s="96">
        <v>5</v>
      </c>
      <c r="B32" s="77" t="s">
        <v>331</v>
      </c>
      <c r="C32" s="79"/>
      <c r="D32" s="35">
        <v>3</v>
      </c>
      <c r="E32" s="80"/>
      <c r="F32" s="80"/>
      <c r="G32" s="80">
        <f t="shared" ref="G32:G34" si="25">ROUND((D32+E32+F32)*9/100,4)</f>
        <v>0.27</v>
      </c>
      <c r="H32" s="81"/>
      <c r="I32" s="80">
        <f t="shared" si="15"/>
        <v>0.75</v>
      </c>
      <c r="J32" s="80">
        <f t="shared" si="16"/>
        <v>4.0199999999999996</v>
      </c>
      <c r="K32" s="76">
        <f t="shared" si="17"/>
        <v>5989800</v>
      </c>
      <c r="L32" s="82"/>
      <c r="M32" s="88">
        <v>3.33</v>
      </c>
      <c r="N32" s="80"/>
      <c r="O32" s="80"/>
      <c r="P32" s="80">
        <f t="shared" ref="P32:P34" si="26">ROUND((M32+N32+O32)*9/100,4)</f>
        <v>0.29970000000000002</v>
      </c>
      <c r="Q32" s="81"/>
      <c r="R32" s="80">
        <f t="shared" si="18"/>
        <v>0.83250000000000002</v>
      </c>
      <c r="S32" s="64">
        <f t="shared" si="19"/>
        <v>4.4622000000000002</v>
      </c>
      <c r="T32" s="83">
        <f t="shared" si="20"/>
        <v>6648678</v>
      </c>
      <c r="U32" s="60" t="s">
        <v>34</v>
      </c>
      <c r="V32" s="85">
        <f t="shared" si="14"/>
        <v>0.33000000000000007</v>
      </c>
      <c r="W32" s="85"/>
      <c r="X32" s="85"/>
      <c r="Y32" s="85">
        <f t="shared" si="21"/>
        <v>2.9700000000000004E-2</v>
      </c>
      <c r="Z32" s="85"/>
      <c r="AA32" s="85"/>
      <c r="AB32" s="85">
        <f t="shared" si="22"/>
        <v>8.2500000000000018E-2</v>
      </c>
      <c r="AC32" s="85">
        <f t="shared" si="23"/>
        <v>0.44220000000000009</v>
      </c>
      <c r="AD32" s="86">
        <f t="shared" si="24"/>
        <v>658878.00000000012</v>
      </c>
      <c r="AE32" s="84" t="s">
        <v>384</v>
      </c>
    </row>
    <row r="33" spans="1:31" ht="35.25" customHeight="1" x14ac:dyDescent="0.25">
      <c r="A33" s="96">
        <v>6</v>
      </c>
      <c r="B33" s="77" t="s">
        <v>347</v>
      </c>
      <c r="C33" s="79"/>
      <c r="D33" s="35">
        <v>3.66</v>
      </c>
      <c r="E33" s="80"/>
      <c r="F33" s="80"/>
      <c r="G33" s="80">
        <f>ROUND((D33+E33+F33)*13/100,4)</f>
        <v>0.4758</v>
      </c>
      <c r="H33" s="81"/>
      <c r="I33" s="80">
        <f t="shared" si="15"/>
        <v>0.91500000000000004</v>
      </c>
      <c r="J33" s="80">
        <f t="shared" si="16"/>
        <v>5.0507999999999997</v>
      </c>
      <c r="K33" s="76">
        <f t="shared" si="17"/>
        <v>7525692</v>
      </c>
      <c r="L33" s="82"/>
      <c r="M33" s="88">
        <v>3.99</v>
      </c>
      <c r="N33" s="80"/>
      <c r="O33" s="80"/>
      <c r="P33" s="80">
        <f>ROUND((M33+N33+O33)*13/100,4)</f>
        <v>0.51870000000000005</v>
      </c>
      <c r="Q33" s="81"/>
      <c r="R33" s="80">
        <f t="shared" si="18"/>
        <v>0.99750000000000005</v>
      </c>
      <c r="S33" s="64">
        <f t="shared" si="19"/>
        <v>5.5061999999999998</v>
      </c>
      <c r="T33" s="83">
        <f t="shared" si="20"/>
        <v>8204238</v>
      </c>
      <c r="U33" s="60" t="s">
        <v>34</v>
      </c>
      <c r="V33" s="85">
        <f t="shared" si="14"/>
        <v>0.33000000000000007</v>
      </c>
      <c r="W33" s="85"/>
      <c r="X33" s="85"/>
      <c r="Y33" s="85">
        <f t="shared" si="21"/>
        <v>4.2900000000000049E-2</v>
      </c>
      <c r="Z33" s="85"/>
      <c r="AA33" s="85"/>
      <c r="AB33" s="85">
        <f t="shared" si="22"/>
        <v>8.2500000000000018E-2</v>
      </c>
      <c r="AC33" s="85">
        <f t="shared" si="23"/>
        <v>0.45540000000000014</v>
      </c>
      <c r="AD33" s="86">
        <f t="shared" si="24"/>
        <v>678546.00000000023</v>
      </c>
      <c r="AE33" s="84" t="s">
        <v>384</v>
      </c>
    </row>
    <row r="34" spans="1:31" ht="35.25" customHeight="1" x14ac:dyDescent="0.25">
      <c r="A34" s="96">
        <v>7</v>
      </c>
      <c r="B34" s="77" t="s">
        <v>329</v>
      </c>
      <c r="C34" s="79"/>
      <c r="D34" s="35">
        <v>3</v>
      </c>
      <c r="E34" s="80"/>
      <c r="F34" s="80"/>
      <c r="G34" s="80">
        <f t="shared" si="25"/>
        <v>0.27</v>
      </c>
      <c r="H34" s="81"/>
      <c r="I34" s="80">
        <f t="shared" si="15"/>
        <v>0.75</v>
      </c>
      <c r="J34" s="80">
        <f t="shared" si="16"/>
        <v>4.0199999999999996</v>
      </c>
      <c r="K34" s="76">
        <f t="shared" si="17"/>
        <v>5989800</v>
      </c>
      <c r="L34" s="82"/>
      <c r="M34" s="88">
        <v>3.33</v>
      </c>
      <c r="N34" s="80"/>
      <c r="O34" s="80"/>
      <c r="P34" s="80">
        <f t="shared" si="26"/>
        <v>0.29970000000000002</v>
      </c>
      <c r="Q34" s="81"/>
      <c r="R34" s="80">
        <f t="shared" si="18"/>
        <v>0.83250000000000002</v>
      </c>
      <c r="S34" s="64">
        <f t="shared" si="19"/>
        <v>4.4622000000000002</v>
      </c>
      <c r="T34" s="83">
        <f t="shared" si="20"/>
        <v>6648678</v>
      </c>
      <c r="U34" s="60" t="s">
        <v>34</v>
      </c>
      <c r="V34" s="85">
        <f t="shared" si="14"/>
        <v>0.33000000000000007</v>
      </c>
      <c r="W34" s="85"/>
      <c r="X34" s="85"/>
      <c r="Y34" s="85">
        <f t="shared" si="21"/>
        <v>2.9700000000000004E-2</v>
      </c>
      <c r="Z34" s="85"/>
      <c r="AA34" s="85"/>
      <c r="AB34" s="85">
        <f t="shared" si="22"/>
        <v>8.2500000000000018E-2</v>
      </c>
      <c r="AC34" s="85">
        <f t="shared" si="23"/>
        <v>0.44220000000000009</v>
      </c>
      <c r="AD34" s="86">
        <f t="shared" si="24"/>
        <v>658878.00000000012</v>
      </c>
      <c r="AE34" s="84" t="s">
        <v>384</v>
      </c>
    </row>
    <row r="35" spans="1:31" ht="35.25" customHeight="1" x14ac:dyDescent="0.25">
      <c r="A35" s="96">
        <v>8</v>
      </c>
      <c r="B35" s="77" t="s">
        <v>212</v>
      </c>
      <c r="C35" s="79"/>
      <c r="D35" s="35">
        <v>2.67</v>
      </c>
      <c r="E35" s="80"/>
      <c r="F35" s="80">
        <v>0.35</v>
      </c>
      <c r="G35" s="80">
        <f>ROUND((D35+E35+F35)*6/100,4)</f>
        <v>0.1812</v>
      </c>
      <c r="H35" s="81"/>
      <c r="I35" s="80">
        <f t="shared" si="15"/>
        <v>0.755</v>
      </c>
      <c r="J35" s="80">
        <f t="shared" si="16"/>
        <v>3.9561999999999999</v>
      </c>
      <c r="K35" s="76">
        <f t="shared" si="17"/>
        <v>5894738</v>
      </c>
      <c r="L35" s="82"/>
      <c r="M35" s="88">
        <v>3</v>
      </c>
      <c r="N35" s="80"/>
      <c r="O35" s="80">
        <v>0.35</v>
      </c>
      <c r="P35" s="80">
        <f>ROUND((M35+N35+O35)*6/100,4)</f>
        <v>0.20100000000000001</v>
      </c>
      <c r="Q35" s="81"/>
      <c r="R35" s="80">
        <f t="shared" si="18"/>
        <v>0.83750000000000002</v>
      </c>
      <c r="S35" s="64">
        <f t="shared" si="19"/>
        <v>4.3884999999999996</v>
      </c>
      <c r="T35" s="83">
        <f t="shared" si="20"/>
        <v>6538865</v>
      </c>
      <c r="U35" s="60" t="s">
        <v>34</v>
      </c>
      <c r="V35" s="85">
        <f t="shared" si="14"/>
        <v>0.33000000000000007</v>
      </c>
      <c r="W35" s="85"/>
      <c r="X35" s="85"/>
      <c r="Y35" s="85">
        <f t="shared" si="21"/>
        <v>1.9800000000000012E-2</v>
      </c>
      <c r="Z35" s="85"/>
      <c r="AA35" s="85"/>
      <c r="AB35" s="85">
        <f t="shared" si="22"/>
        <v>8.2500000000000018E-2</v>
      </c>
      <c r="AC35" s="85">
        <f t="shared" si="23"/>
        <v>0.43230000000000013</v>
      </c>
      <c r="AD35" s="86">
        <f t="shared" si="24"/>
        <v>644127.00000000023</v>
      </c>
      <c r="AE35" s="84" t="s">
        <v>384</v>
      </c>
    </row>
    <row r="36" spans="1:31" ht="35.25" customHeight="1" x14ac:dyDescent="0.25">
      <c r="A36" s="96">
        <v>9</v>
      </c>
      <c r="B36" s="77" t="s">
        <v>338</v>
      </c>
      <c r="C36" s="79"/>
      <c r="D36" s="35">
        <v>3.33</v>
      </c>
      <c r="E36" s="80"/>
      <c r="F36" s="80">
        <v>0.25</v>
      </c>
      <c r="G36" s="80">
        <f>ROUND((D36+E36+F36)*10/100,4)</f>
        <v>0.35799999999999998</v>
      </c>
      <c r="H36" s="81"/>
      <c r="I36" s="80">
        <f>ROUND((D36+E36+F36)*45/100,4)</f>
        <v>1.611</v>
      </c>
      <c r="J36" s="80">
        <f t="shared" si="16"/>
        <v>5.5490000000000004</v>
      </c>
      <c r="K36" s="76">
        <f t="shared" si="17"/>
        <v>8268010</v>
      </c>
      <c r="L36" s="82"/>
      <c r="M36" s="88">
        <v>3.66</v>
      </c>
      <c r="N36" s="80"/>
      <c r="O36" s="80">
        <v>0.25</v>
      </c>
      <c r="P36" s="80">
        <f>ROUND((M36+N36+O36)*10/100,4)</f>
        <v>0.39100000000000001</v>
      </c>
      <c r="Q36" s="81"/>
      <c r="R36" s="80">
        <f>ROUND((M36+N36+O36)*45/100,4)</f>
        <v>1.7595000000000001</v>
      </c>
      <c r="S36" s="64">
        <f t="shared" si="19"/>
        <v>6.0605000000000002</v>
      </c>
      <c r="T36" s="83">
        <f t="shared" si="20"/>
        <v>9030145</v>
      </c>
      <c r="U36" s="60" t="s">
        <v>34</v>
      </c>
      <c r="V36" s="85">
        <f t="shared" si="14"/>
        <v>0.33000000000000007</v>
      </c>
      <c r="W36" s="85"/>
      <c r="X36" s="85"/>
      <c r="Y36" s="85">
        <f t="shared" si="21"/>
        <v>3.3000000000000029E-2</v>
      </c>
      <c r="Z36" s="85"/>
      <c r="AA36" s="85"/>
      <c r="AB36" s="85">
        <f t="shared" si="22"/>
        <v>0.14850000000000008</v>
      </c>
      <c r="AC36" s="85">
        <f t="shared" si="23"/>
        <v>0.51150000000000018</v>
      </c>
      <c r="AD36" s="86">
        <f t="shared" si="24"/>
        <v>762135.00000000023</v>
      </c>
      <c r="AE36" s="84" t="s">
        <v>384</v>
      </c>
    </row>
    <row r="37" spans="1:31" ht="35.25" customHeight="1" x14ac:dyDescent="0.25">
      <c r="A37" s="96">
        <v>10</v>
      </c>
      <c r="B37" s="77" t="s">
        <v>214</v>
      </c>
      <c r="C37" s="79"/>
      <c r="D37" s="35">
        <v>2.67</v>
      </c>
      <c r="E37" s="80"/>
      <c r="F37" s="80">
        <v>0.25</v>
      </c>
      <c r="G37" s="80">
        <f t="shared" ref="G37" si="27">ROUND((D37+E37+F37)*6/100,4)</f>
        <v>0.17519999999999999</v>
      </c>
      <c r="H37" s="81"/>
      <c r="I37" s="80">
        <f t="shared" si="15"/>
        <v>0.73</v>
      </c>
      <c r="J37" s="80">
        <f t="shared" si="16"/>
        <v>3.8252000000000002</v>
      </c>
      <c r="K37" s="76">
        <f t="shared" si="17"/>
        <v>5699548</v>
      </c>
      <c r="L37" s="82"/>
      <c r="M37" s="88">
        <v>3</v>
      </c>
      <c r="N37" s="80"/>
      <c r="O37" s="80">
        <v>0.25</v>
      </c>
      <c r="P37" s="80">
        <f t="shared" ref="P37" si="28">ROUND((M37+N37+O37)*6/100,4)</f>
        <v>0.19500000000000001</v>
      </c>
      <c r="Q37" s="81"/>
      <c r="R37" s="80">
        <f t="shared" si="18"/>
        <v>0.8125</v>
      </c>
      <c r="S37" s="64">
        <f t="shared" si="19"/>
        <v>4.2575000000000003</v>
      </c>
      <c r="T37" s="83">
        <f t="shared" si="20"/>
        <v>6343675</v>
      </c>
      <c r="U37" s="60" t="s">
        <v>34</v>
      </c>
      <c r="V37" s="85">
        <f t="shared" si="14"/>
        <v>0.33000000000000007</v>
      </c>
      <c r="W37" s="85"/>
      <c r="X37" s="85"/>
      <c r="Y37" s="85">
        <f t="shared" si="21"/>
        <v>1.9800000000000012E-2</v>
      </c>
      <c r="Z37" s="85"/>
      <c r="AA37" s="85"/>
      <c r="AB37" s="85">
        <f t="shared" si="22"/>
        <v>8.2500000000000018E-2</v>
      </c>
      <c r="AC37" s="85">
        <f t="shared" si="23"/>
        <v>0.43230000000000013</v>
      </c>
      <c r="AD37" s="86">
        <f t="shared" si="24"/>
        <v>644127.00000000023</v>
      </c>
      <c r="AE37" s="84" t="s">
        <v>384</v>
      </c>
    </row>
    <row r="38" spans="1:31" ht="35.25" customHeight="1" x14ac:dyDescent="0.25">
      <c r="A38" s="96">
        <v>11</v>
      </c>
      <c r="B38" s="77" t="s">
        <v>336</v>
      </c>
      <c r="C38" s="79"/>
      <c r="D38" s="35">
        <v>3.33</v>
      </c>
      <c r="E38" s="80"/>
      <c r="F38" s="80">
        <v>0.35</v>
      </c>
      <c r="G38" s="80">
        <f>ROUND((D38+E38+F38)*11/100,4)</f>
        <v>0.40479999999999999</v>
      </c>
      <c r="H38" s="81"/>
      <c r="I38" s="80">
        <f>ROUND((D38+E38+F38)*45/100,4)</f>
        <v>1.6559999999999999</v>
      </c>
      <c r="J38" s="80">
        <f t="shared" si="16"/>
        <v>5.7408000000000001</v>
      </c>
      <c r="K38" s="76">
        <f t="shared" si="17"/>
        <v>8553792</v>
      </c>
      <c r="L38" s="82"/>
      <c r="M38" s="88">
        <v>3.66</v>
      </c>
      <c r="N38" s="80"/>
      <c r="O38" s="80">
        <v>0.35</v>
      </c>
      <c r="P38" s="80">
        <f>ROUND((M38+N38+O38)*11/100,4)</f>
        <v>0.44109999999999999</v>
      </c>
      <c r="Q38" s="81"/>
      <c r="R38" s="80">
        <f>ROUND((M38+N38+O38)*45/100,4)</f>
        <v>1.8045</v>
      </c>
      <c r="S38" s="64">
        <f t="shared" si="19"/>
        <v>6.2556000000000003</v>
      </c>
      <c r="T38" s="83">
        <f t="shared" si="20"/>
        <v>9320844</v>
      </c>
      <c r="U38" s="60" t="s">
        <v>34</v>
      </c>
      <c r="V38" s="85">
        <f t="shared" si="14"/>
        <v>0.33000000000000007</v>
      </c>
      <c r="W38" s="85"/>
      <c r="X38" s="85"/>
      <c r="Y38" s="85">
        <f t="shared" si="21"/>
        <v>3.6299999999999999E-2</v>
      </c>
      <c r="Z38" s="85"/>
      <c r="AA38" s="85"/>
      <c r="AB38" s="85">
        <f t="shared" si="22"/>
        <v>0.14850000000000008</v>
      </c>
      <c r="AC38" s="85">
        <f t="shared" si="23"/>
        <v>0.51480000000000015</v>
      </c>
      <c r="AD38" s="86">
        <f t="shared" si="24"/>
        <v>767052.00000000023</v>
      </c>
      <c r="AE38" s="84" t="s">
        <v>384</v>
      </c>
    </row>
    <row r="39" spans="1:31" ht="35.25" customHeight="1" x14ac:dyDescent="0.25">
      <c r="A39" s="96">
        <v>12</v>
      </c>
      <c r="B39" s="77" t="s">
        <v>326</v>
      </c>
      <c r="C39" s="79"/>
      <c r="D39" s="35">
        <v>3.66</v>
      </c>
      <c r="E39" s="80"/>
      <c r="F39" s="80"/>
      <c r="G39" s="80">
        <f>ROUND((D39+E39+F39)*14/100,4)</f>
        <v>0.51239999999999997</v>
      </c>
      <c r="H39" s="81"/>
      <c r="I39" s="80">
        <f t="shared" si="15"/>
        <v>0.91500000000000004</v>
      </c>
      <c r="J39" s="80">
        <f t="shared" si="16"/>
        <v>5.0873999999999997</v>
      </c>
      <c r="K39" s="76">
        <f t="shared" si="17"/>
        <v>7580226</v>
      </c>
      <c r="L39" s="82"/>
      <c r="M39" s="88">
        <v>3.99</v>
      </c>
      <c r="N39" s="80"/>
      <c r="O39" s="80"/>
      <c r="P39" s="80">
        <f>ROUND((M39+N39+O39)*14/100,4)</f>
        <v>0.55859999999999999</v>
      </c>
      <c r="Q39" s="81"/>
      <c r="R39" s="80">
        <f t="shared" si="18"/>
        <v>0.99750000000000005</v>
      </c>
      <c r="S39" s="64">
        <f t="shared" si="19"/>
        <v>5.5461</v>
      </c>
      <c r="T39" s="83">
        <f t="shared" si="20"/>
        <v>8263689</v>
      </c>
      <c r="U39" s="60" t="s">
        <v>34</v>
      </c>
      <c r="V39" s="85">
        <f t="shared" si="14"/>
        <v>0.33000000000000007</v>
      </c>
      <c r="W39" s="85"/>
      <c r="X39" s="85"/>
      <c r="Y39" s="85">
        <f t="shared" si="21"/>
        <v>4.6200000000000019E-2</v>
      </c>
      <c r="Z39" s="85"/>
      <c r="AA39" s="85"/>
      <c r="AB39" s="85">
        <f t="shared" si="22"/>
        <v>8.2500000000000018E-2</v>
      </c>
      <c r="AC39" s="85">
        <f t="shared" si="23"/>
        <v>0.45870000000000011</v>
      </c>
      <c r="AD39" s="86">
        <f t="shared" si="24"/>
        <v>683463.00000000012</v>
      </c>
      <c r="AE39" s="84" t="s">
        <v>384</v>
      </c>
    </row>
    <row r="40" spans="1:31" ht="47.25" customHeight="1" x14ac:dyDescent="0.25">
      <c r="A40" s="96">
        <v>13</v>
      </c>
      <c r="B40" s="77" t="s">
        <v>386</v>
      </c>
      <c r="C40" s="79"/>
      <c r="D40" s="35">
        <v>3.66</v>
      </c>
      <c r="E40" s="80"/>
      <c r="F40" s="80"/>
      <c r="G40" s="80">
        <f>ROUND((D40+E40+F40)*15/100,4)</f>
        <v>0.54900000000000004</v>
      </c>
      <c r="H40" s="81"/>
      <c r="I40" s="80">
        <f t="shared" si="15"/>
        <v>0.91500000000000004</v>
      </c>
      <c r="J40" s="80">
        <f t="shared" si="16"/>
        <v>5.1239999999999997</v>
      </c>
      <c r="K40" s="76">
        <f t="shared" si="17"/>
        <v>7634760</v>
      </c>
      <c r="L40" s="82"/>
      <c r="M40" s="88">
        <v>3.99</v>
      </c>
      <c r="N40" s="80"/>
      <c r="O40" s="80"/>
      <c r="P40" s="80">
        <f>ROUND((M40+N40+O40)*16/100,4)</f>
        <v>0.63839999999999997</v>
      </c>
      <c r="Q40" s="81"/>
      <c r="R40" s="80">
        <f t="shared" si="18"/>
        <v>0.99750000000000005</v>
      </c>
      <c r="S40" s="64">
        <f t="shared" si="19"/>
        <v>5.6258999999999997</v>
      </c>
      <c r="T40" s="83">
        <f t="shared" si="20"/>
        <v>8382591</v>
      </c>
      <c r="U40" s="60" t="s">
        <v>34</v>
      </c>
      <c r="V40" s="85">
        <f t="shared" si="14"/>
        <v>0.33000000000000007</v>
      </c>
      <c r="W40" s="85"/>
      <c r="X40" s="85"/>
      <c r="Y40" s="85">
        <f t="shared" si="21"/>
        <v>8.9399999999999924E-2</v>
      </c>
      <c r="Z40" s="85"/>
      <c r="AA40" s="85"/>
      <c r="AB40" s="85">
        <f t="shared" si="22"/>
        <v>8.2500000000000018E-2</v>
      </c>
      <c r="AC40" s="85">
        <f t="shared" si="23"/>
        <v>0.50190000000000001</v>
      </c>
      <c r="AD40" s="86">
        <f t="shared" si="24"/>
        <v>747831</v>
      </c>
      <c r="AE40" s="84" t="s">
        <v>414</v>
      </c>
    </row>
    <row r="41" spans="1:31" ht="35.25" customHeight="1" x14ac:dyDescent="0.25">
      <c r="A41" s="96">
        <v>14</v>
      </c>
      <c r="B41" s="77" t="s">
        <v>287</v>
      </c>
      <c r="C41" s="79"/>
      <c r="D41" s="35">
        <v>3.66</v>
      </c>
      <c r="E41" s="80"/>
      <c r="F41" s="80"/>
      <c r="G41" s="80">
        <f>ROUND((D41+E41+F41)*13/100,4)</f>
        <v>0.4758</v>
      </c>
      <c r="H41" s="81"/>
      <c r="I41" s="80">
        <f t="shared" si="15"/>
        <v>0.91500000000000004</v>
      </c>
      <c r="J41" s="80">
        <f t="shared" si="16"/>
        <v>5.0507999999999997</v>
      </c>
      <c r="K41" s="76">
        <f t="shared" si="17"/>
        <v>7525692</v>
      </c>
      <c r="L41" s="82"/>
      <c r="M41" s="88">
        <v>3.99</v>
      </c>
      <c r="N41" s="80"/>
      <c r="O41" s="80"/>
      <c r="P41" s="80">
        <f>ROUND((M41+N41+O41)*13/100,4)</f>
        <v>0.51870000000000005</v>
      </c>
      <c r="Q41" s="81"/>
      <c r="R41" s="80">
        <f t="shared" si="18"/>
        <v>0.99750000000000005</v>
      </c>
      <c r="S41" s="64">
        <f t="shared" si="19"/>
        <v>5.5061999999999998</v>
      </c>
      <c r="T41" s="83">
        <f t="shared" si="20"/>
        <v>8204238</v>
      </c>
      <c r="U41" s="60" t="s">
        <v>34</v>
      </c>
      <c r="V41" s="85">
        <f t="shared" si="14"/>
        <v>0.33000000000000007</v>
      </c>
      <c r="W41" s="85"/>
      <c r="X41" s="85"/>
      <c r="Y41" s="85">
        <f t="shared" si="21"/>
        <v>4.2900000000000049E-2</v>
      </c>
      <c r="Z41" s="85"/>
      <c r="AA41" s="85"/>
      <c r="AB41" s="85">
        <f t="shared" si="22"/>
        <v>8.2500000000000018E-2</v>
      </c>
      <c r="AC41" s="85">
        <f t="shared" si="23"/>
        <v>0.45540000000000014</v>
      </c>
      <c r="AD41" s="86">
        <f t="shared" si="24"/>
        <v>678546.00000000023</v>
      </c>
      <c r="AE41" s="84" t="s">
        <v>384</v>
      </c>
    </row>
    <row r="42" spans="1:31" ht="35.25" customHeight="1" x14ac:dyDescent="0.25">
      <c r="A42" s="96">
        <v>15</v>
      </c>
      <c r="B42" s="77" t="s">
        <v>387</v>
      </c>
      <c r="C42" s="79"/>
      <c r="D42" s="35">
        <v>3.66</v>
      </c>
      <c r="E42" s="80"/>
      <c r="F42" s="80"/>
      <c r="G42" s="80">
        <f>ROUND((D42+E42+F42)*12/100,4)</f>
        <v>0.43919999999999998</v>
      </c>
      <c r="H42" s="81"/>
      <c r="I42" s="80">
        <f t="shared" si="15"/>
        <v>0.91500000000000004</v>
      </c>
      <c r="J42" s="80">
        <f t="shared" si="16"/>
        <v>5.0141999999999998</v>
      </c>
      <c r="K42" s="76">
        <f t="shared" si="17"/>
        <v>7471158</v>
      </c>
      <c r="L42" s="82"/>
      <c r="M42" s="88">
        <v>3.99</v>
      </c>
      <c r="N42" s="80"/>
      <c r="O42" s="80"/>
      <c r="P42" s="80">
        <f>ROUND((M42+N42+O42)*12/100,4)</f>
        <v>0.4788</v>
      </c>
      <c r="Q42" s="81"/>
      <c r="R42" s="80">
        <f t="shared" si="18"/>
        <v>0.99750000000000005</v>
      </c>
      <c r="S42" s="64">
        <f t="shared" si="19"/>
        <v>5.4663000000000004</v>
      </c>
      <c r="T42" s="83">
        <f t="shared" si="20"/>
        <v>8144787</v>
      </c>
      <c r="U42" s="60" t="s">
        <v>34</v>
      </c>
      <c r="V42" s="85">
        <f t="shared" si="14"/>
        <v>0.33000000000000007</v>
      </c>
      <c r="W42" s="85"/>
      <c r="X42" s="85"/>
      <c r="Y42" s="85">
        <f t="shared" si="21"/>
        <v>3.9600000000000024E-2</v>
      </c>
      <c r="Z42" s="85"/>
      <c r="AA42" s="85"/>
      <c r="AB42" s="85">
        <f t="shared" si="22"/>
        <v>8.2500000000000018E-2</v>
      </c>
      <c r="AC42" s="85">
        <f t="shared" si="23"/>
        <v>0.45210000000000011</v>
      </c>
      <c r="AD42" s="86">
        <f t="shared" si="24"/>
        <v>673629.00000000012</v>
      </c>
      <c r="AE42" s="84" t="s">
        <v>384</v>
      </c>
    </row>
    <row r="43" spans="1:31" ht="35.25" customHeight="1" x14ac:dyDescent="0.25">
      <c r="A43" s="96">
        <v>16</v>
      </c>
      <c r="B43" s="77" t="s">
        <v>289</v>
      </c>
      <c r="C43" s="79"/>
      <c r="D43" s="35">
        <v>3.33</v>
      </c>
      <c r="E43" s="80"/>
      <c r="F43" s="80"/>
      <c r="G43" s="80">
        <f>ROUND((D43+E43+F43)*11/100,4)</f>
        <v>0.36630000000000001</v>
      </c>
      <c r="H43" s="81"/>
      <c r="I43" s="80">
        <f t="shared" si="15"/>
        <v>0.83250000000000002</v>
      </c>
      <c r="J43" s="80">
        <f t="shared" si="16"/>
        <v>4.5288000000000004</v>
      </c>
      <c r="K43" s="76">
        <f t="shared" si="17"/>
        <v>6747912</v>
      </c>
      <c r="L43" s="82"/>
      <c r="M43" s="88">
        <v>3.66</v>
      </c>
      <c r="N43" s="80"/>
      <c r="O43" s="80"/>
      <c r="P43" s="80">
        <f>ROUND((M43+N43+O43)*11/100,4)</f>
        <v>0.40260000000000001</v>
      </c>
      <c r="Q43" s="81"/>
      <c r="R43" s="80">
        <f t="shared" si="18"/>
        <v>0.91500000000000004</v>
      </c>
      <c r="S43" s="64">
        <f t="shared" si="19"/>
        <v>4.9775999999999998</v>
      </c>
      <c r="T43" s="83">
        <f t="shared" si="20"/>
        <v>7416624</v>
      </c>
      <c r="U43" s="60" t="s">
        <v>34</v>
      </c>
      <c r="V43" s="85">
        <f t="shared" si="14"/>
        <v>0.33000000000000007</v>
      </c>
      <c r="W43" s="85"/>
      <c r="X43" s="85"/>
      <c r="Y43" s="85">
        <f t="shared" si="21"/>
        <v>3.6299999999999999E-2</v>
      </c>
      <c r="Z43" s="85"/>
      <c r="AA43" s="85"/>
      <c r="AB43" s="85">
        <f t="shared" si="22"/>
        <v>8.2500000000000018E-2</v>
      </c>
      <c r="AC43" s="85">
        <f t="shared" si="23"/>
        <v>0.44880000000000009</v>
      </c>
      <c r="AD43" s="86">
        <f t="shared" si="24"/>
        <v>668712.00000000012</v>
      </c>
      <c r="AE43" s="84" t="s">
        <v>384</v>
      </c>
    </row>
    <row r="44" spans="1:31" ht="35.25" customHeight="1" x14ac:dyDescent="0.25">
      <c r="A44" s="96">
        <v>17</v>
      </c>
      <c r="B44" s="77" t="s">
        <v>388</v>
      </c>
      <c r="C44" s="79"/>
      <c r="D44" s="35">
        <v>3</v>
      </c>
      <c r="E44" s="80"/>
      <c r="F44" s="80"/>
      <c r="G44" s="80"/>
      <c r="H44" s="81"/>
      <c r="I44" s="80"/>
      <c r="J44" s="80">
        <f t="shared" si="16"/>
        <v>3</v>
      </c>
      <c r="K44" s="76">
        <f t="shared" si="17"/>
        <v>4470000</v>
      </c>
      <c r="L44" s="82"/>
      <c r="M44" s="88">
        <v>3.33</v>
      </c>
      <c r="N44" s="80"/>
      <c r="O44" s="80"/>
      <c r="P44" s="80"/>
      <c r="Q44" s="81"/>
      <c r="R44" s="80"/>
      <c r="S44" s="64">
        <f t="shared" si="19"/>
        <v>3.33</v>
      </c>
      <c r="T44" s="83">
        <f t="shared" si="20"/>
        <v>4961700</v>
      </c>
      <c r="U44" s="60" t="s">
        <v>34</v>
      </c>
      <c r="V44" s="85">
        <f t="shared" si="14"/>
        <v>0.33000000000000007</v>
      </c>
      <c r="W44" s="85"/>
      <c r="X44" s="85"/>
      <c r="Y44" s="85">
        <f t="shared" si="21"/>
        <v>0</v>
      </c>
      <c r="Z44" s="85"/>
      <c r="AA44" s="85"/>
      <c r="AB44" s="85">
        <f t="shared" si="22"/>
        <v>0</v>
      </c>
      <c r="AC44" s="85">
        <f t="shared" si="23"/>
        <v>0.33000000000000007</v>
      </c>
      <c r="AD44" s="86">
        <f t="shared" si="24"/>
        <v>491700.00000000012</v>
      </c>
      <c r="AE44" s="84" t="s">
        <v>384</v>
      </c>
    </row>
    <row r="45" spans="1:31" ht="35.25" customHeight="1" x14ac:dyDescent="0.25">
      <c r="A45" s="96">
        <v>18</v>
      </c>
      <c r="B45" s="77" t="s">
        <v>294</v>
      </c>
      <c r="C45" s="79"/>
      <c r="D45" s="35">
        <v>3</v>
      </c>
      <c r="E45" s="80"/>
      <c r="F45" s="80"/>
      <c r="G45" s="80">
        <f>ROUND((D45+E45+F45)*8/100,4)</f>
        <v>0.24</v>
      </c>
      <c r="H45" s="81"/>
      <c r="I45" s="80">
        <f t="shared" si="15"/>
        <v>0.75</v>
      </c>
      <c r="J45" s="80">
        <f t="shared" si="16"/>
        <v>3.99</v>
      </c>
      <c r="K45" s="76">
        <f t="shared" si="17"/>
        <v>5945100</v>
      </c>
      <c r="L45" s="82"/>
      <c r="M45" s="88">
        <v>3.33</v>
      </c>
      <c r="N45" s="80"/>
      <c r="O45" s="80"/>
      <c r="P45" s="80">
        <f>ROUND((M45+N45+O45)*8/100,4)</f>
        <v>0.26640000000000003</v>
      </c>
      <c r="Q45" s="81"/>
      <c r="R45" s="80">
        <f t="shared" si="18"/>
        <v>0.83250000000000002</v>
      </c>
      <c r="S45" s="64">
        <f t="shared" si="19"/>
        <v>4.4288999999999996</v>
      </c>
      <c r="T45" s="83">
        <f t="shared" si="20"/>
        <v>6599061</v>
      </c>
      <c r="U45" s="60" t="s">
        <v>34</v>
      </c>
      <c r="V45" s="85">
        <f t="shared" si="14"/>
        <v>0.33000000000000007</v>
      </c>
      <c r="W45" s="85"/>
      <c r="X45" s="85"/>
      <c r="Y45" s="85">
        <f t="shared" si="21"/>
        <v>2.6400000000000035E-2</v>
      </c>
      <c r="Z45" s="85"/>
      <c r="AA45" s="85"/>
      <c r="AB45" s="85">
        <f t="shared" si="22"/>
        <v>8.2500000000000018E-2</v>
      </c>
      <c r="AC45" s="85">
        <f t="shared" si="23"/>
        <v>0.43890000000000012</v>
      </c>
      <c r="AD45" s="86">
        <f t="shared" si="24"/>
        <v>653961.00000000023</v>
      </c>
      <c r="AE45" s="84" t="s">
        <v>384</v>
      </c>
    </row>
    <row r="46" spans="1:31" ht="35.25" customHeight="1" x14ac:dyDescent="0.25">
      <c r="A46" s="96">
        <v>19</v>
      </c>
      <c r="B46" s="77" t="s">
        <v>295</v>
      </c>
      <c r="C46" s="79"/>
      <c r="D46" s="35">
        <v>3</v>
      </c>
      <c r="E46" s="80"/>
      <c r="F46" s="80"/>
      <c r="G46" s="80">
        <f t="shared" ref="G46" si="29">ROUND((D46+E46+F46)*8/100,4)</f>
        <v>0.24</v>
      </c>
      <c r="H46" s="81"/>
      <c r="I46" s="80">
        <f t="shared" si="15"/>
        <v>0.75</v>
      </c>
      <c r="J46" s="80">
        <f t="shared" si="16"/>
        <v>3.99</v>
      </c>
      <c r="K46" s="76">
        <f t="shared" si="17"/>
        <v>5945100</v>
      </c>
      <c r="L46" s="82"/>
      <c r="M46" s="88">
        <v>3.33</v>
      </c>
      <c r="N46" s="80"/>
      <c r="O46" s="80"/>
      <c r="P46" s="80">
        <f t="shared" ref="P46" si="30">ROUND((M46+N46+O46)*8/100,4)</f>
        <v>0.26640000000000003</v>
      </c>
      <c r="Q46" s="81"/>
      <c r="R46" s="80">
        <f t="shared" si="18"/>
        <v>0.83250000000000002</v>
      </c>
      <c r="S46" s="64">
        <f t="shared" si="19"/>
        <v>4.4288999999999996</v>
      </c>
      <c r="T46" s="83">
        <f t="shared" si="20"/>
        <v>6599061</v>
      </c>
      <c r="U46" s="60" t="s">
        <v>34</v>
      </c>
      <c r="V46" s="85">
        <f t="shared" si="14"/>
        <v>0.33000000000000007</v>
      </c>
      <c r="W46" s="85"/>
      <c r="X46" s="85"/>
      <c r="Y46" s="85">
        <f t="shared" si="21"/>
        <v>2.6400000000000035E-2</v>
      </c>
      <c r="Z46" s="85"/>
      <c r="AA46" s="85"/>
      <c r="AB46" s="85">
        <f t="shared" si="22"/>
        <v>8.2500000000000018E-2</v>
      </c>
      <c r="AC46" s="85">
        <f t="shared" si="23"/>
        <v>0.43890000000000012</v>
      </c>
      <c r="AD46" s="86">
        <f t="shared" si="24"/>
        <v>653961.00000000023</v>
      </c>
      <c r="AE46" s="84" t="s">
        <v>384</v>
      </c>
    </row>
    <row r="47" spans="1:31" ht="35.25" customHeight="1" x14ac:dyDescent="0.25">
      <c r="A47" s="96">
        <v>20</v>
      </c>
      <c r="B47" s="77" t="s">
        <v>174</v>
      </c>
      <c r="C47" s="79"/>
      <c r="D47" s="35">
        <v>3</v>
      </c>
      <c r="E47" s="80"/>
      <c r="F47" s="80">
        <v>0.35</v>
      </c>
      <c r="G47" s="80">
        <f>ROUND((D47+E47+F47)*6/100,4)</f>
        <v>0.20100000000000001</v>
      </c>
      <c r="H47" s="81"/>
      <c r="I47" s="80">
        <f t="shared" si="15"/>
        <v>0.83750000000000002</v>
      </c>
      <c r="J47" s="80">
        <f t="shared" si="16"/>
        <v>4.3884999999999996</v>
      </c>
      <c r="K47" s="76">
        <f t="shared" si="17"/>
        <v>6538865</v>
      </c>
      <c r="L47" s="82"/>
      <c r="M47" s="88">
        <v>3.33</v>
      </c>
      <c r="N47" s="80"/>
      <c r="O47" s="80">
        <v>0.35</v>
      </c>
      <c r="P47" s="80">
        <f>ROUND((M47+N47+O47)*6/100,4)</f>
        <v>0.2208</v>
      </c>
      <c r="Q47" s="81"/>
      <c r="R47" s="80">
        <f t="shared" si="18"/>
        <v>0.92</v>
      </c>
      <c r="S47" s="64">
        <f t="shared" si="19"/>
        <v>4.8208000000000002</v>
      </c>
      <c r="T47" s="83">
        <f t="shared" si="20"/>
        <v>7182992</v>
      </c>
      <c r="U47" s="60" t="s">
        <v>34</v>
      </c>
      <c r="V47" s="85">
        <f t="shared" si="14"/>
        <v>0.33000000000000007</v>
      </c>
      <c r="W47" s="85"/>
      <c r="X47" s="85"/>
      <c r="Y47" s="85">
        <f t="shared" si="21"/>
        <v>1.9799999999999984E-2</v>
      </c>
      <c r="Z47" s="85"/>
      <c r="AA47" s="85"/>
      <c r="AB47" s="85">
        <f t="shared" si="22"/>
        <v>8.2500000000000018E-2</v>
      </c>
      <c r="AC47" s="85">
        <f t="shared" si="23"/>
        <v>0.43230000000000007</v>
      </c>
      <c r="AD47" s="86">
        <f t="shared" si="24"/>
        <v>644127.00000000012</v>
      </c>
      <c r="AE47" s="84" t="s">
        <v>384</v>
      </c>
    </row>
    <row r="48" spans="1:31" ht="35.25" customHeight="1" x14ac:dyDescent="0.25">
      <c r="A48" s="96">
        <v>21</v>
      </c>
      <c r="B48" s="77" t="s">
        <v>215</v>
      </c>
      <c r="C48" s="79"/>
      <c r="D48" s="35">
        <v>2.67</v>
      </c>
      <c r="E48" s="80"/>
      <c r="F48" s="80"/>
      <c r="G48" s="80">
        <f>ROUND((D48+E48+F48)*6/100,4)</f>
        <v>0.16020000000000001</v>
      </c>
      <c r="H48" s="81"/>
      <c r="I48" s="80">
        <f t="shared" si="15"/>
        <v>0.66749999999999998</v>
      </c>
      <c r="J48" s="80">
        <f t="shared" si="16"/>
        <v>3.4977</v>
      </c>
      <c r="K48" s="76">
        <f t="shared" si="17"/>
        <v>5211573</v>
      </c>
      <c r="L48" s="82"/>
      <c r="M48" s="88">
        <v>3</v>
      </c>
      <c r="N48" s="80"/>
      <c r="O48" s="80"/>
      <c r="P48" s="80">
        <f>ROUND((M48+N48+O48)*6/100,4)</f>
        <v>0.18</v>
      </c>
      <c r="Q48" s="81"/>
      <c r="R48" s="80">
        <f t="shared" si="18"/>
        <v>0.75</v>
      </c>
      <c r="S48" s="64">
        <f t="shared" si="19"/>
        <v>3.93</v>
      </c>
      <c r="T48" s="83">
        <f t="shared" si="20"/>
        <v>5855700</v>
      </c>
      <c r="U48" s="60" t="s">
        <v>34</v>
      </c>
      <c r="V48" s="85">
        <f t="shared" si="14"/>
        <v>0.33000000000000007</v>
      </c>
      <c r="W48" s="85"/>
      <c r="X48" s="85"/>
      <c r="Y48" s="85">
        <f t="shared" si="21"/>
        <v>1.9799999999999984E-2</v>
      </c>
      <c r="Z48" s="85"/>
      <c r="AA48" s="85"/>
      <c r="AB48" s="85">
        <f t="shared" si="22"/>
        <v>8.2500000000000018E-2</v>
      </c>
      <c r="AC48" s="85">
        <f t="shared" si="23"/>
        <v>0.43230000000000007</v>
      </c>
      <c r="AD48" s="86">
        <f t="shared" si="24"/>
        <v>644127.00000000012</v>
      </c>
      <c r="AE48" s="84" t="s">
        <v>384</v>
      </c>
    </row>
    <row r="49" spans="1:31" ht="35.25" customHeight="1" x14ac:dyDescent="0.25">
      <c r="A49" s="96">
        <v>22</v>
      </c>
      <c r="B49" s="77" t="s">
        <v>390</v>
      </c>
      <c r="C49" s="79"/>
      <c r="D49" s="35">
        <v>2.67</v>
      </c>
      <c r="E49" s="80"/>
      <c r="F49" s="80"/>
      <c r="G49" s="80"/>
      <c r="H49" s="81"/>
      <c r="I49" s="80">
        <f t="shared" si="15"/>
        <v>0.66749999999999998</v>
      </c>
      <c r="J49" s="80">
        <f t="shared" si="16"/>
        <v>3.3374999999999999</v>
      </c>
      <c r="K49" s="76">
        <f t="shared" si="17"/>
        <v>4972875</v>
      </c>
      <c r="L49" s="82"/>
      <c r="M49" s="88">
        <v>3</v>
      </c>
      <c r="N49" s="80"/>
      <c r="O49" s="80"/>
      <c r="P49" s="80"/>
      <c r="Q49" s="81"/>
      <c r="R49" s="80">
        <f t="shared" si="18"/>
        <v>0.75</v>
      </c>
      <c r="S49" s="64">
        <f t="shared" si="19"/>
        <v>3.75</v>
      </c>
      <c r="T49" s="83">
        <f t="shared" si="20"/>
        <v>5587500</v>
      </c>
      <c r="U49" s="60" t="s">
        <v>34</v>
      </c>
      <c r="V49" s="85">
        <f t="shared" si="14"/>
        <v>0.33000000000000007</v>
      </c>
      <c r="W49" s="85"/>
      <c r="X49" s="85"/>
      <c r="Y49" s="85">
        <f t="shared" si="21"/>
        <v>0</v>
      </c>
      <c r="Z49" s="85"/>
      <c r="AA49" s="85"/>
      <c r="AB49" s="85">
        <f t="shared" si="22"/>
        <v>8.2500000000000018E-2</v>
      </c>
      <c r="AC49" s="85">
        <f t="shared" si="23"/>
        <v>0.41250000000000009</v>
      </c>
      <c r="AD49" s="86">
        <f t="shared" si="24"/>
        <v>614625.00000000012</v>
      </c>
      <c r="AE49" s="84" t="s">
        <v>384</v>
      </c>
    </row>
    <row r="50" spans="1:31" ht="35.25" customHeight="1" x14ac:dyDescent="0.25">
      <c r="A50" s="96">
        <v>23</v>
      </c>
      <c r="B50" s="77" t="s">
        <v>391</v>
      </c>
      <c r="C50" s="79"/>
      <c r="D50" s="35">
        <v>2.34</v>
      </c>
      <c r="E50" s="80"/>
      <c r="F50" s="80"/>
      <c r="G50" s="80"/>
      <c r="H50" s="81"/>
      <c r="I50" s="80">
        <f t="shared" si="15"/>
        <v>0.58499999999999996</v>
      </c>
      <c r="J50" s="80">
        <f t="shared" si="16"/>
        <v>2.9249999999999998</v>
      </c>
      <c r="K50" s="76">
        <f t="shared" si="17"/>
        <v>4358250</v>
      </c>
      <c r="L50" s="82"/>
      <c r="M50" s="88">
        <v>2.67</v>
      </c>
      <c r="N50" s="80"/>
      <c r="O50" s="80"/>
      <c r="P50" s="80"/>
      <c r="Q50" s="81"/>
      <c r="R50" s="80">
        <f t="shared" si="18"/>
        <v>0.66749999999999998</v>
      </c>
      <c r="S50" s="64">
        <f t="shared" si="19"/>
        <v>3.3374999999999999</v>
      </c>
      <c r="T50" s="83">
        <f t="shared" si="20"/>
        <v>4972875</v>
      </c>
      <c r="U50" s="60" t="s">
        <v>34</v>
      </c>
      <c r="V50" s="85">
        <f t="shared" si="14"/>
        <v>0.33000000000000007</v>
      </c>
      <c r="W50" s="85"/>
      <c r="X50" s="85"/>
      <c r="Y50" s="85">
        <f t="shared" si="21"/>
        <v>0</v>
      </c>
      <c r="Z50" s="85"/>
      <c r="AA50" s="85"/>
      <c r="AB50" s="85">
        <f t="shared" si="22"/>
        <v>8.2500000000000018E-2</v>
      </c>
      <c r="AC50" s="85">
        <f t="shared" si="23"/>
        <v>0.41250000000000009</v>
      </c>
      <c r="AD50" s="86">
        <f t="shared" si="24"/>
        <v>614625.00000000012</v>
      </c>
      <c r="AE50" s="84" t="s">
        <v>384</v>
      </c>
    </row>
    <row r="51" spans="1:31" ht="35.25" customHeight="1" x14ac:dyDescent="0.25">
      <c r="A51" s="96">
        <v>24</v>
      </c>
      <c r="B51" s="77" t="s">
        <v>392</v>
      </c>
      <c r="C51" s="79"/>
      <c r="D51" s="35">
        <v>2.67</v>
      </c>
      <c r="E51" s="80"/>
      <c r="F51" s="80"/>
      <c r="G51" s="80"/>
      <c r="H51" s="81"/>
      <c r="I51" s="80">
        <f t="shared" si="15"/>
        <v>0.66749999999999998</v>
      </c>
      <c r="J51" s="80">
        <f t="shared" si="16"/>
        <v>3.3374999999999999</v>
      </c>
      <c r="K51" s="76">
        <f t="shared" si="17"/>
        <v>4972875</v>
      </c>
      <c r="L51" s="82"/>
      <c r="M51" s="88">
        <v>3</v>
      </c>
      <c r="N51" s="80"/>
      <c r="O51" s="80"/>
      <c r="P51" s="80"/>
      <c r="Q51" s="81"/>
      <c r="R51" s="80">
        <f t="shared" si="18"/>
        <v>0.75</v>
      </c>
      <c r="S51" s="64">
        <f t="shared" si="19"/>
        <v>3.75</v>
      </c>
      <c r="T51" s="83">
        <f t="shared" si="20"/>
        <v>5587500</v>
      </c>
      <c r="U51" s="60" t="s">
        <v>34</v>
      </c>
      <c r="V51" s="85">
        <f t="shared" si="14"/>
        <v>0.33000000000000007</v>
      </c>
      <c r="W51" s="85"/>
      <c r="X51" s="85"/>
      <c r="Y51" s="85">
        <f t="shared" si="21"/>
        <v>0</v>
      </c>
      <c r="Z51" s="85"/>
      <c r="AA51" s="85"/>
      <c r="AB51" s="85">
        <f t="shared" si="22"/>
        <v>8.2500000000000018E-2</v>
      </c>
      <c r="AC51" s="85">
        <f t="shared" si="23"/>
        <v>0.41250000000000009</v>
      </c>
      <c r="AD51" s="86">
        <f t="shared" si="24"/>
        <v>614625.00000000012</v>
      </c>
      <c r="AE51" s="84" t="s">
        <v>384</v>
      </c>
    </row>
    <row r="52" spans="1:31" ht="35.25" customHeight="1" x14ac:dyDescent="0.25">
      <c r="A52" s="96">
        <v>25</v>
      </c>
      <c r="B52" s="77" t="s">
        <v>393</v>
      </c>
      <c r="C52" s="79"/>
      <c r="D52" s="35">
        <v>2.67</v>
      </c>
      <c r="E52" s="80"/>
      <c r="F52" s="80"/>
      <c r="G52" s="80"/>
      <c r="H52" s="81"/>
      <c r="I52" s="80">
        <f t="shared" si="15"/>
        <v>0.66749999999999998</v>
      </c>
      <c r="J52" s="80">
        <f t="shared" si="16"/>
        <v>3.3374999999999999</v>
      </c>
      <c r="K52" s="76">
        <f t="shared" si="17"/>
        <v>4972875</v>
      </c>
      <c r="L52" s="82"/>
      <c r="M52" s="88">
        <v>3</v>
      </c>
      <c r="N52" s="80"/>
      <c r="O52" s="80"/>
      <c r="P52" s="80"/>
      <c r="Q52" s="81"/>
      <c r="R52" s="80">
        <f t="shared" si="18"/>
        <v>0.75</v>
      </c>
      <c r="S52" s="64">
        <f t="shared" si="19"/>
        <v>3.75</v>
      </c>
      <c r="T52" s="83">
        <f t="shared" si="20"/>
        <v>5587500</v>
      </c>
      <c r="U52" s="60" t="s">
        <v>34</v>
      </c>
      <c r="V52" s="85">
        <f t="shared" si="14"/>
        <v>0.33000000000000007</v>
      </c>
      <c r="W52" s="85"/>
      <c r="X52" s="85"/>
      <c r="Y52" s="85">
        <f t="shared" si="21"/>
        <v>0</v>
      </c>
      <c r="Z52" s="85"/>
      <c r="AA52" s="85"/>
      <c r="AB52" s="85">
        <f t="shared" si="22"/>
        <v>8.2500000000000018E-2</v>
      </c>
      <c r="AC52" s="85">
        <f t="shared" si="23"/>
        <v>0.41250000000000009</v>
      </c>
      <c r="AD52" s="86">
        <f t="shared" si="24"/>
        <v>614625.00000000012</v>
      </c>
      <c r="AE52" s="84" t="s">
        <v>384</v>
      </c>
    </row>
    <row r="53" spans="1:31" ht="35.25" customHeight="1" x14ac:dyDescent="0.25">
      <c r="A53" s="96">
        <v>26</v>
      </c>
      <c r="B53" s="77" t="s">
        <v>69</v>
      </c>
      <c r="C53" s="79"/>
      <c r="D53" s="35">
        <v>3</v>
      </c>
      <c r="E53" s="80"/>
      <c r="F53" s="80"/>
      <c r="G53" s="80">
        <f>ROUND((D53+E53+F53)*13/100,4)</f>
        <v>0.39</v>
      </c>
      <c r="H53" s="81"/>
      <c r="I53" s="80">
        <f t="shared" si="15"/>
        <v>0.75</v>
      </c>
      <c r="J53" s="80">
        <f t="shared" si="16"/>
        <v>4.1399999999999997</v>
      </c>
      <c r="K53" s="76">
        <f t="shared" si="17"/>
        <v>6168600</v>
      </c>
      <c r="L53" s="82"/>
      <c r="M53" s="88">
        <v>3.33</v>
      </c>
      <c r="N53" s="80"/>
      <c r="O53" s="80"/>
      <c r="P53" s="80">
        <f>ROUND((M53+N53+O53)*13/100,4)</f>
        <v>0.43290000000000001</v>
      </c>
      <c r="Q53" s="81"/>
      <c r="R53" s="80">
        <f t="shared" si="18"/>
        <v>0.83250000000000002</v>
      </c>
      <c r="S53" s="64">
        <f t="shared" si="19"/>
        <v>4.5953999999999997</v>
      </c>
      <c r="T53" s="83">
        <f t="shared" si="20"/>
        <v>6847146</v>
      </c>
      <c r="U53" s="60" t="s">
        <v>34</v>
      </c>
      <c r="V53" s="85">
        <f t="shared" si="14"/>
        <v>0.33000000000000007</v>
      </c>
      <c r="W53" s="85"/>
      <c r="X53" s="85"/>
      <c r="Y53" s="85">
        <f t="shared" si="21"/>
        <v>4.2899999999999994E-2</v>
      </c>
      <c r="Z53" s="85"/>
      <c r="AA53" s="85"/>
      <c r="AB53" s="85">
        <f t="shared" si="22"/>
        <v>8.2500000000000018E-2</v>
      </c>
      <c r="AC53" s="85">
        <f t="shared" si="23"/>
        <v>0.45540000000000008</v>
      </c>
      <c r="AD53" s="86">
        <f t="shared" si="24"/>
        <v>678546.00000000012</v>
      </c>
      <c r="AE53" s="84" t="s">
        <v>384</v>
      </c>
    </row>
    <row r="54" spans="1:31" ht="35.25" customHeight="1" x14ac:dyDescent="0.25">
      <c r="A54" s="96">
        <v>27</v>
      </c>
      <c r="B54" s="77" t="s">
        <v>394</v>
      </c>
      <c r="C54" s="79"/>
      <c r="D54" s="35">
        <v>2.34</v>
      </c>
      <c r="E54" s="80"/>
      <c r="F54" s="80"/>
      <c r="G54" s="80"/>
      <c r="H54" s="81"/>
      <c r="I54" s="80">
        <f t="shared" si="15"/>
        <v>0.58499999999999996</v>
      </c>
      <c r="J54" s="80">
        <f t="shared" si="16"/>
        <v>2.9249999999999998</v>
      </c>
      <c r="K54" s="76">
        <f t="shared" si="17"/>
        <v>4358250</v>
      </c>
      <c r="L54" s="82"/>
      <c r="M54" s="88">
        <v>2.67</v>
      </c>
      <c r="N54" s="80"/>
      <c r="O54" s="80"/>
      <c r="P54" s="80"/>
      <c r="Q54" s="81"/>
      <c r="R54" s="80">
        <f t="shared" si="18"/>
        <v>0.66749999999999998</v>
      </c>
      <c r="S54" s="64">
        <f t="shared" si="19"/>
        <v>3.3374999999999999</v>
      </c>
      <c r="T54" s="83">
        <f t="shared" si="20"/>
        <v>4972875</v>
      </c>
      <c r="U54" s="60" t="s">
        <v>34</v>
      </c>
      <c r="V54" s="85">
        <f t="shared" si="14"/>
        <v>0.33000000000000007</v>
      </c>
      <c r="W54" s="85"/>
      <c r="X54" s="85"/>
      <c r="Y54" s="85">
        <f t="shared" si="21"/>
        <v>0</v>
      </c>
      <c r="Z54" s="85"/>
      <c r="AA54" s="85"/>
      <c r="AB54" s="85">
        <f t="shared" si="22"/>
        <v>8.2500000000000018E-2</v>
      </c>
      <c r="AC54" s="85">
        <f t="shared" si="23"/>
        <v>0.41250000000000009</v>
      </c>
      <c r="AD54" s="86">
        <f t="shared" si="24"/>
        <v>614625.00000000012</v>
      </c>
      <c r="AE54" s="84" t="s">
        <v>384</v>
      </c>
    </row>
    <row r="55" spans="1:31" ht="35.25" customHeight="1" x14ac:dyDescent="0.25">
      <c r="A55" s="96">
        <v>28</v>
      </c>
      <c r="B55" s="77" t="s">
        <v>70</v>
      </c>
      <c r="C55" s="79"/>
      <c r="D55" s="35">
        <v>3.33</v>
      </c>
      <c r="E55" s="80"/>
      <c r="F55" s="80">
        <v>0.25</v>
      </c>
      <c r="G55" s="80">
        <f>ROUND((D55+E55+F55)*12/100,4)</f>
        <v>0.42959999999999998</v>
      </c>
      <c r="H55" s="81"/>
      <c r="I55" s="80">
        <f t="shared" si="15"/>
        <v>0.89500000000000002</v>
      </c>
      <c r="J55" s="80">
        <f t="shared" si="16"/>
        <v>4.9046000000000003</v>
      </c>
      <c r="K55" s="76">
        <f t="shared" si="17"/>
        <v>7307854</v>
      </c>
      <c r="L55" s="82"/>
      <c r="M55" s="88">
        <v>3.66</v>
      </c>
      <c r="N55" s="80"/>
      <c r="O55" s="80">
        <v>0.25</v>
      </c>
      <c r="P55" s="80">
        <f>ROUND((M55+N55+O55)*12/100,4)</f>
        <v>0.46920000000000001</v>
      </c>
      <c r="Q55" s="81"/>
      <c r="R55" s="80">
        <f t="shared" si="18"/>
        <v>0.97750000000000004</v>
      </c>
      <c r="S55" s="64">
        <f t="shared" si="19"/>
        <v>5.3567</v>
      </c>
      <c r="T55" s="83">
        <f t="shared" si="20"/>
        <v>7981483</v>
      </c>
      <c r="U55" s="60" t="s">
        <v>34</v>
      </c>
      <c r="V55" s="85">
        <f t="shared" si="14"/>
        <v>0.33000000000000007</v>
      </c>
      <c r="W55" s="85"/>
      <c r="X55" s="85"/>
      <c r="Y55" s="85">
        <f t="shared" si="21"/>
        <v>3.9600000000000024E-2</v>
      </c>
      <c r="Z55" s="85"/>
      <c r="AA55" s="85"/>
      <c r="AB55" s="85">
        <f t="shared" si="22"/>
        <v>8.2500000000000018E-2</v>
      </c>
      <c r="AC55" s="85">
        <f t="shared" si="23"/>
        <v>0.45210000000000011</v>
      </c>
      <c r="AD55" s="86">
        <f t="shared" si="24"/>
        <v>673629.00000000012</v>
      </c>
      <c r="AE55" s="84" t="s">
        <v>384</v>
      </c>
    </row>
    <row r="56" spans="1:31" ht="35.25" customHeight="1" x14ac:dyDescent="0.25">
      <c r="A56" s="96">
        <v>29</v>
      </c>
      <c r="B56" s="77" t="s">
        <v>395</v>
      </c>
      <c r="C56" s="79"/>
      <c r="D56" s="35">
        <v>2.34</v>
      </c>
      <c r="E56" s="80"/>
      <c r="F56" s="80"/>
      <c r="G56" s="80"/>
      <c r="H56" s="81"/>
      <c r="I56" s="80">
        <f t="shared" si="15"/>
        <v>0.58499999999999996</v>
      </c>
      <c r="J56" s="80">
        <f t="shared" si="16"/>
        <v>2.9249999999999998</v>
      </c>
      <c r="K56" s="76">
        <f t="shared" si="17"/>
        <v>4358250</v>
      </c>
      <c r="L56" s="82"/>
      <c r="M56" s="88">
        <v>2.67</v>
      </c>
      <c r="N56" s="80"/>
      <c r="O56" s="80"/>
      <c r="P56" s="80"/>
      <c r="Q56" s="81"/>
      <c r="R56" s="80">
        <f t="shared" si="18"/>
        <v>0.66749999999999998</v>
      </c>
      <c r="S56" s="64">
        <f t="shared" si="19"/>
        <v>3.3374999999999999</v>
      </c>
      <c r="T56" s="83">
        <f t="shared" si="20"/>
        <v>4972875</v>
      </c>
      <c r="U56" s="60" t="s">
        <v>34</v>
      </c>
      <c r="V56" s="85">
        <f t="shared" si="14"/>
        <v>0.33000000000000007</v>
      </c>
      <c r="W56" s="85"/>
      <c r="X56" s="85"/>
      <c r="Y56" s="85">
        <f t="shared" si="21"/>
        <v>0</v>
      </c>
      <c r="Z56" s="85"/>
      <c r="AA56" s="85"/>
      <c r="AB56" s="85">
        <f t="shared" si="22"/>
        <v>8.2500000000000018E-2</v>
      </c>
      <c r="AC56" s="85">
        <f t="shared" si="23"/>
        <v>0.41250000000000009</v>
      </c>
      <c r="AD56" s="86">
        <f t="shared" si="24"/>
        <v>614625.00000000012</v>
      </c>
      <c r="AE56" s="84" t="s">
        <v>384</v>
      </c>
    </row>
    <row r="57" spans="1:31" ht="35.25" customHeight="1" x14ac:dyDescent="0.25">
      <c r="A57" s="96">
        <v>30</v>
      </c>
      <c r="B57" s="77" t="s">
        <v>396</v>
      </c>
      <c r="C57" s="79"/>
      <c r="D57" s="35">
        <v>2.67</v>
      </c>
      <c r="E57" s="80"/>
      <c r="F57" s="80"/>
      <c r="G57" s="80"/>
      <c r="H57" s="81"/>
      <c r="I57" s="80">
        <f t="shared" si="15"/>
        <v>0.66749999999999998</v>
      </c>
      <c r="J57" s="80">
        <f t="shared" si="16"/>
        <v>3.3374999999999999</v>
      </c>
      <c r="K57" s="76">
        <f t="shared" si="17"/>
        <v>4972875</v>
      </c>
      <c r="L57" s="82"/>
      <c r="M57" s="88">
        <v>3</v>
      </c>
      <c r="N57" s="80"/>
      <c r="O57" s="80"/>
      <c r="P57" s="80"/>
      <c r="Q57" s="81"/>
      <c r="R57" s="80">
        <f t="shared" si="18"/>
        <v>0.75</v>
      </c>
      <c r="S57" s="64">
        <f t="shared" si="19"/>
        <v>3.75</v>
      </c>
      <c r="T57" s="83">
        <f t="shared" si="20"/>
        <v>5587500</v>
      </c>
      <c r="U57" s="60" t="s">
        <v>34</v>
      </c>
      <c r="V57" s="85">
        <f t="shared" si="14"/>
        <v>0.33000000000000007</v>
      </c>
      <c r="W57" s="85"/>
      <c r="X57" s="85"/>
      <c r="Y57" s="85">
        <f t="shared" si="21"/>
        <v>0</v>
      </c>
      <c r="Z57" s="85"/>
      <c r="AA57" s="85"/>
      <c r="AB57" s="85">
        <f t="shared" si="22"/>
        <v>8.2500000000000018E-2</v>
      </c>
      <c r="AC57" s="85">
        <f t="shared" si="23"/>
        <v>0.41250000000000009</v>
      </c>
      <c r="AD57" s="86">
        <f t="shared" si="24"/>
        <v>614625.00000000012</v>
      </c>
      <c r="AE57" s="84" t="s">
        <v>384</v>
      </c>
    </row>
    <row r="58" spans="1:31" ht="35.25" customHeight="1" x14ac:dyDescent="0.25">
      <c r="A58" s="96">
        <v>31</v>
      </c>
      <c r="B58" s="77" t="s">
        <v>397</v>
      </c>
      <c r="C58" s="79"/>
      <c r="D58" s="35">
        <v>2.67</v>
      </c>
      <c r="E58" s="80"/>
      <c r="F58" s="80"/>
      <c r="G58" s="80"/>
      <c r="H58" s="81"/>
      <c r="I58" s="80">
        <f>ROUND((D58+E58+F58)*45/100,4)</f>
        <v>1.2015</v>
      </c>
      <c r="J58" s="80">
        <f t="shared" si="16"/>
        <v>3.8715000000000002</v>
      </c>
      <c r="K58" s="76">
        <f t="shared" si="17"/>
        <v>5768535</v>
      </c>
      <c r="L58" s="82"/>
      <c r="M58" s="88">
        <v>3</v>
      </c>
      <c r="N58" s="80"/>
      <c r="O58" s="80"/>
      <c r="P58" s="80"/>
      <c r="Q58" s="81"/>
      <c r="R58" s="80">
        <f>ROUND((M58+N58+O58)*45/100,4)</f>
        <v>1.35</v>
      </c>
      <c r="S58" s="64">
        <f t="shared" si="19"/>
        <v>4.3499999999999996</v>
      </c>
      <c r="T58" s="83">
        <f t="shared" si="20"/>
        <v>6481500</v>
      </c>
      <c r="U58" s="60" t="s">
        <v>34</v>
      </c>
      <c r="V58" s="85">
        <f t="shared" si="14"/>
        <v>0.33000000000000007</v>
      </c>
      <c r="W58" s="85"/>
      <c r="X58" s="85"/>
      <c r="Y58" s="85">
        <f t="shared" si="21"/>
        <v>0</v>
      </c>
      <c r="Z58" s="85"/>
      <c r="AA58" s="85"/>
      <c r="AB58" s="85">
        <f t="shared" si="22"/>
        <v>0.14850000000000008</v>
      </c>
      <c r="AC58" s="85">
        <f t="shared" si="23"/>
        <v>0.47850000000000015</v>
      </c>
      <c r="AD58" s="86">
        <f t="shared" si="24"/>
        <v>712965.00000000023</v>
      </c>
      <c r="AE58" s="84" t="s">
        <v>384</v>
      </c>
    </row>
    <row r="59" spans="1:31" ht="35.25" customHeight="1" x14ac:dyDescent="0.25">
      <c r="A59" s="96">
        <v>32</v>
      </c>
      <c r="B59" s="77" t="s">
        <v>398</v>
      </c>
      <c r="C59" s="79"/>
      <c r="D59" s="35">
        <v>2.67</v>
      </c>
      <c r="E59" s="80"/>
      <c r="F59" s="80"/>
      <c r="G59" s="80"/>
      <c r="H59" s="81"/>
      <c r="I59" s="80">
        <f t="shared" si="15"/>
        <v>0.66749999999999998</v>
      </c>
      <c r="J59" s="80">
        <f t="shared" si="16"/>
        <v>3.3374999999999999</v>
      </c>
      <c r="K59" s="76">
        <f t="shared" si="17"/>
        <v>4972875</v>
      </c>
      <c r="L59" s="82"/>
      <c r="M59" s="88">
        <v>3</v>
      </c>
      <c r="N59" s="80"/>
      <c r="O59" s="80"/>
      <c r="P59" s="80"/>
      <c r="Q59" s="81"/>
      <c r="R59" s="80">
        <f t="shared" si="18"/>
        <v>0.75</v>
      </c>
      <c r="S59" s="64">
        <f t="shared" si="19"/>
        <v>3.75</v>
      </c>
      <c r="T59" s="83">
        <f t="shared" si="20"/>
        <v>5587500</v>
      </c>
      <c r="U59" s="60" t="s">
        <v>34</v>
      </c>
      <c r="V59" s="85">
        <f t="shared" si="14"/>
        <v>0.33000000000000007</v>
      </c>
      <c r="W59" s="85"/>
      <c r="X59" s="85"/>
      <c r="Y59" s="85">
        <f t="shared" si="21"/>
        <v>0</v>
      </c>
      <c r="Z59" s="85"/>
      <c r="AA59" s="85"/>
      <c r="AB59" s="85">
        <f t="shared" si="22"/>
        <v>8.2500000000000018E-2</v>
      </c>
      <c r="AC59" s="85">
        <f t="shared" si="23"/>
        <v>0.41250000000000009</v>
      </c>
      <c r="AD59" s="86">
        <f t="shared" si="24"/>
        <v>614625.00000000012</v>
      </c>
      <c r="AE59" s="84" t="s">
        <v>384</v>
      </c>
    </row>
    <row r="60" spans="1:31" s="267" customFormat="1" ht="35.25" customHeight="1" x14ac:dyDescent="0.25">
      <c r="A60" s="96">
        <v>33</v>
      </c>
      <c r="B60" s="275" t="s">
        <v>241</v>
      </c>
      <c r="C60" s="276"/>
      <c r="D60" s="35"/>
      <c r="E60" s="277"/>
      <c r="F60" s="277"/>
      <c r="G60" s="277"/>
      <c r="H60" s="278"/>
      <c r="I60" s="277">
        <f>2.34*25/100</f>
        <v>0.58499999999999996</v>
      </c>
      <c r="J60" s="277">
        <f t="shared" si="16"/>
        <v>0.58499999999999996</v>
      </c>
      <c r="K60" s="279">
        <f t="shared" si="17"/>
        <v>871650</v>
      </c>
      <c r="L60" s="280"/>
      <c r="M60" s="281"/>
      <c r="N60" s="277"/>
      <c r="O60" s="277"/>
      <c r="P60" s="277"/>
      <c r="Q60" s="278"/>
      <c r="R60" s="277">
        <f>2.67*25/100</f>
        <v>0.66749999999999998</v>
      </c>
      <c r="S60" s="64">
        <f t="shared" si="19"/>
        <v>0.66749999999999998</v>
      </c>
      <c r="T60" s="282">
        <f t="shared" si="20"/>
        <v>994575</v>
      </c>
      <c r="U60" s="60" t="s">
        <v>34</v>
      </c>
      <c r="V60" s="283">
        <f t="shared" si="14"/>
        <v>0</v>
      </c>
      <c r="W60" s="283"/>
      <c r="X60" s="283"/>
      <c r="Y60" s="283">
        <f t="shared" si="21"/>
        <v>0</v>
      </c>
      <c r="Z60" s="283"/>
      <c r="AA60" s="283"/>
      <c r="AB60" s="283">
        <f t="shared" si="22"/>
        <v>8.2500000000000018E-2</v>
      </c>
      <c r="AC60" s="283">
        <f t="shared" si="23"/>
        <v>8.2500000000000018E-2</v>
      </c>
      <c r="AD60" s="284">
        <f t="shared" si="24"/>
        <v>122925.00000000003</v>
      </c>
      <c r="AE60" s="266" t="s">
        <v>384</v>
      </c>
    </row>
    <row r="61" spans="1:31" s="267" customFormat="1" ht="35.25" customHeight="1" x14ac:dyDescent="0.25">
      <c r="A61" s="96">
        <v>34</v>
      </c>
      <c r="B61" s="275" t="s">
        <v>79</v>
      </c>
      <c r="C61" s="276"/>
      <c r="D61" s="35">
        <v>2.67</v>
      </c>
      <c r="E61" s="277"/>
      <c r="F61" s="277"/>
      <c r="G61" s="277"/>
      <c r="H61" s="278"/>
      <c r="I61" s="277"/>
      <c r="J61" s="277">
        <f t="shared" si="16"/>
        <v>2.67</v>
      </c>
      <c r="K61" s="279">
        <f t="shared" si="17"/>
        <v>3978300</v>
      </c>
      <c r="L61" s="280"/>
      <c r="M61" s="281">
        <v>3</v>
      </c>
      <c r="N61" s="277"/>
      <c r="O61" s="277"/>
      <c r="P61" s="277"/>
      <c r="Q61" s="278"/>
      <c r="R61" s="277"/>
      <c r="S61" s="64">
        <f t="shared" si="19"/>
        <v>3</v>
      </c>
      <c r="T61" s="282">
        <f t="shared" si="20"/>
        <v>4470000</v>
      </c>
      <c r="U61" s="60" t="s">
        <v>80</v>
      </c>
      <c r="V61" s="283">
        <f t="shared" si="14"/>
        <v>0.33000000000000007</v>
      </c>
      <c r="W61" s="283"/>
      <c r="X61" s="283"/>
      <c r="Y61" s="283">
        <f t="shared" si="21"/>
        <v>0</v>
      </c>
      <c r="Z61" s="283"/>
      <c r="AA61" s="283"/>
      <c r="AB61" s="283">
        <f t="shared" si="22"/>
        <v>0</v>
      </c>
      <c r="AC61" s="283">
        <f t="shared" si="23"/>
        <v>0.33000000000000007</v>
      </c>
      <c r="AD61" s="284">
        <f t="shared" si="24"/>
        <v>491700.00000000012</v>
      </c>
      <c r="AE61" s="266" t="s">
        <v>384</v>
      </c>
    </row>
    <row r="62" spans="1:31" s="267" customFormat="1" ht="39.75" customHeight="1" x14ac:dyDescent="0.25">
      <c r="A62" s="96">
        <v>35</v>
      </c>
      <c r="B62" s="261" t="s">
        <v>300</v>
      </c>
      <c r="C62" s="260"/>
      <c r="D62" s="262">
        <v>3.33</v>
      </c>
      <c r="E62" s="263"/>
      <c r="F62" s="262"/>
      <c r="G62" s="263">
        <f>ROUND((D62+E62+F62)*10/100,4)</f>
        <v>0.33300000000000002</v>
      </c>
      <c r="H62" s="262"/>
      <c r="I62" s="263">
        <f t="shared" ref="I62" si="31">ROUND((D62+E62+F62)*25/100,4)</f>
        <v>0.83250000000000002</v>
      </c>
      <c r="J62" s="263">
        <f t="shared" si="16"/>
        <v>4.4954999999999998</v>
      </c>
      <c r="K62" s="264">
        <f t="shared" ref="K62" si="32">ROUND(J62*$B$6,4)</f>
        <v>6698295</v>
      </c>
      <c r="L62" s="262"/>
      <c r="M62" s="262">
        <v>3.66</v>
      </c>
      <c r="N62" s="263"/>
      <c r="O62" s="262"/>
      <c r="P62" s="263">
        <f>ROUND((M62+N62+O62)*10/100,4)</f>
        <v>0.36599999999999999</v>
      </c>
      <c r="Q62" s="262"/>
      <c r="R62" s="263">
        <f t="shared" ref="R62" si="33">ROUND((M62+N62+O62)*25/100,4)</f>
        <v>0.91500000000000004</v>
      </c>
      <c r="S62" s="263">
        <f t="shared" si="19"/>
        <v>4.9409999999999998</v>
      </c>
      <c r="T62" s="264">
        <f t="shared" si="20"/>
        <v>7362090</v>
      </c>
      <c r="U62" s="265" t="s">
        <v>31</v>
      </c>
      <c r="V62" s="262">
        <f t="shared" si="14"/>
        <v>0.33000000000000007</v>
      </c>
      <c r="W62" s="263"/>
      <c r="X62" s="262"/>
      <c r="Y62" s="263">
        <f t="shared" si="21"/>
        <v>3.2999999999999974E-2</v>
      </c>
      <c r="Z62" s="262"/>
      <c r="AA62" s="262"/>
      <c r="AB62" s="263">
        <f t="shared" si="22"/>
        <v>8.2500000000000018E-2</v>
      </c>
      <c r="AC62" s="263">
        <f t="shared" si="23"/>
        <v>0.44550000000000006</v>
      </c>
      <c r="AD62" s="264">
        <f t="shared" si="24"/>
        <v>663795.00000000012</v>
      </c>
      <c r="AE62" s="266" t="s">
        <v>384</v>
      </c>
    </row>
    <row r="63" spans="1:31" s="267" customFormat="1" ht="35.25" customHeight="1" x14ac:dyDescent="0.25">
      <c r="A63" s="96">
        <v>36</v>
      </c>
      <c r="B63" s="275" t="s">
        <v>401</v>
      </c>
      <c r="C63" s="276"/>
      <c r="D63" s="35">
        <v>2.67</v>
      </c>
      <c r="E63" s="277"/>
      <c r="F63" s="277">
        <v>0.25</v>
      </c>
      <c r="G63" s="277"/>
      <c r="H63" s="278"/>
      <c r="I63" s="277">
        <f t="shared" si="15"/>
        <v>0.73</v>
      </c>
      <c r="J63" s="277">
        <f t="shared" si="16"/>
        <v>3.65</v>
      </c>
      <c r="K63" s="279">
        <f t="shared" si="17"/>
        <v>5438500</v>
      </c>
      <c r="L63" s="280"/>
      <c r="M63" s="281">
        <v>3</v>
      </c>
      <c r="N63" s="277"/>
      <c r="O63" s="277">
        <v>0.25</v>
      </c>
      <c r="P63" s="277"/>
      <c r="Q63" s="278"/>
      <c r="R63" s="277">
        <f t="shared" si="18"/>
        <v>0.8125</v>
      </c>
      <c r="S63" s="64">
        <f t="shared" si="19"/>
        <v>4.0625</v>
      </c>
      <c r="T63" s="282">
        <f t="shared" si="20"/>
        <v>6053125</v>
      </c>
      <c r="U63" s="60" t="s">
        <v>34</v>
      </c>
      <c r="V63" s="283">
        <f t="shared" si="14"/>
        <v>0.33000000000000007</v>
      </c>
      <c r="W63" s="283"/>
      <c r="X63" s="283"/>
      <c r="Y63" s="283">
        <f t="shared" si="21"/>
        <v>0</v>
      </c>
      <c r="Z63" s="283"/>
      <c r="AA63" s="283"/>
      <c r="AB63" s="283">
        <f t="shared" si="22"/>
        <v>8.2500000000000018E-2</v>
      </c>
      <c r="AC63" s="283">
        <f t="shared" si="23"/>
        <v>0.41250000000000009</v>
      </c>
      <c r="AD63" s="284">
        <f t="shared" si="24"/>
        <v>614625.00000000012</v>
      </c>
      <c r="AE63" s="266" t="s">
        <v>384</v>
      </c>
    </row>
    <row r="64" spans="1:31" s="267" customFormat="1" ht="35.25" customHeight="1" x14ac:dyDescent="0.25">
      <c r="A64" s="96">
        <v>37</v>
      </c>
      <c r="B64" s="275" t="s">
        <v>197</v>
      </c>
      <c r="C64" s="276"/>
      <c r="D64" s="35"/>
      <c r="E64" s="277"/>
      <c r="F64" s="277"/>
      <c r="G64" s="277">
        <f>ROUND((D64+E64+F64)*8/100,4)</f>
        <v>0</v>
      </c>
      <c r="H64" s="278"/>
      <c r="I64" s="277">
        <f>3*25/100</f>
        <v>0.75</v>
      </c>
      <c r="J64" s="277">
        <f t="shared" si="16"/>
        <v>0.75</v>
      </c>
      <c r="K64" s="279">
        <f t="shared" si="17"/>
        <v>1117500</v>
      </c>
      <c r="L64" s="280"/>
      <c r="M64" s="281"/>
      <c r="N64" s="277"/>
      <c r="O64" s="277"/>
      <c r="P64" s="277">
        <f>ROUND((M64+N64+O64)*8/100,4)</f>
        <v>0</v>
      </c>
      <c r="Q64" s="278"/>
      <c r="R64" s="277">
        <f>3.33*25/100</f>
        <v>0.83250000000000002</v>
      </c>
      <c r="S64" s="64">
        <f t="shared" si="19"/>
        <v>0.83250000000000002</v>
      </c>
      <c r="T64" s="282">
        <f t="shared" si="20"/>
        <v>1240425</v>
      </c>
      <c r="U64" s="60" t="s">
        <v>34</v>
      </c>
      <c r="V64" s="283">
        <f t="shared" si="14"/>
        <v>0</v>
      </c>
      <c r="W64" s="283"/>
      <c r="X64" s="283"/>
      <c r="Y64" s="283">
        <f t="shared" si="21"/>
        <v>0</v>
      </c>
      <c r="Z64" s="283"/>
      <c r="AA64" s="283"/>
      <c r="AB64" s="283">
        <f t="shared" si="22"/>
        <v>8.2500000000000018E-2</v>
      </c>
      <c r="AC64" s="283">
        <f t="shared" si="23"/>
        <v>8.2500000000000018E-2</v>
      </c>
      <c r="AD64" s="284">
        <f t="shared" si="24"/>
        <v>122925.00000000003</v>
      </c>
      <c r="AE64" s="266" t="s">
        <v>384</v>
      </c>
    </row>
    <row r="65" spans="1:31" s="267" customFormat="1" ht="35.25" customHeight="1" x14ac:dyDescent="0.25">
      <c r="A65" s="96">
        <v>38</v>
      </c>
      <c r="B65" s="275" t="s">
        <v>205</v>
      </c>
      <c r="C65" s="276"/>
      <c r="D65" s="35">
        <v>3</v>
      </c>
      <c r="E65" s="277"/>
      <c r="F65" s="277"/>
      <c r="G65" s="277">
        <f>ROUND((D65+E65+F65)*5/100,4)</f>
        <v>0.15</v>
      </c>
      <c r="H65" s="278"/>
      <c r="I65" s="277">
        <f t="shared" si="15"/>
        <v>0.75</v>
      </c>
      <c r="J65" s="277">
        <f t="shared" si="16"/>
        <v>3.9</v>
      </c>
      <c r="K65" s="279">
        <f t="shared" si="17"/>
        <v>5811000</v>
      </c>
      <c r="L65" s="280"/>
      <c r="M65" s="281">
        <v>3</v>
      </c>
      <c r="N65" s="277"/>
      <c r="O65" s="277"/>
      <c r="P65" s="277">
        <f t="shared" ref="P65" si="34">ROUND((M65+N65+O65)*6/100,4)</f>
        <v>0.18</v>
      </c>
      <c r="Q65" s="278"/>
      <c r="R65" s="277">
        <f t="shared" si="18"/>
        <v>0.75</v>
      </c>
      <c r="S65" s="64">
        <f t="shared" si="19"/>
        <v>3.93</v>
      </c>
      <c r="T65" s="282">
        <f t="shared" si="20"/>
        <v>5855700</v>
      </c>
      <c r="U65" s="60" t="s">
        <v>34</v>
      </c>
      <c r="V65" s="283">
        <f t="shared" si="14"/>
        <v>0</v>
      </c>
      <c r="W65" s="283"/>
      <c r="X65" s="283"/>
      <c r="Y65" s="283">
        <f t="shared" si="21"/>
        <v>0.03</v>
      </c>
      <c r="Z65" s="283"/>
      <c r="AA65" s="283"/>
      <c r="AB65" s="283">
        <f t="shared" si="22"/>
        <v>0</v>
      </c>
      <c r="AC65" s="283">
        <f t="shared" si="23"/>
        <v>0.03</v>
      </c>
      <c r="AD65" s="284">
        <f t="shared" si="24"/>
        <v>44700</v>
      </c>
      <c r="AE65" s="266" t="s">
        <v>407</v>
      </c>
    </row>
    <row r="66" spans="1:31" ht="35.25" customHeight="1" x14ac:dyDescent="0.25">
      <c r="A66" s="96">
        <v>39</v>
      </c>
      <c r="B66" s="77" t="s">
        <v>111</v>
      </c>
      <c r="C66" s="79"/>
      <c r="D66" s="35">
        <v>3</v>
      </c>
      <c r="E66" s="80"/>
      <c r="F66" s="80">
        <v>0.45</v>
      </c>
      <c r="G66" s="80">
        <f t="shared" ref="G66:G68" si="35">ROUND((D66+E66+F66)*6/100,4)</f>
        <v>0.20699999999999999</v>
      </c>
      <c r="H66" s="81"/>
      <c r="I66" s="80">
        <f t="shared" si="15"/>
        <v>0.86250000000000004</v>
      </c>
      <c r="J66" s="80">
        <f t="shared" si="16"/>
        <v>4.5194999999999999</v>
      </c>
      <c r="K66" s="76">
        <f t="shared" si="17"/>
        <v>6734055</v>
      </c>
      <c r="L66" s="82"/>
      <c r="M66" s="88">
        <v>3</v>
      </c>
      <c r="N66" s="80"/>
      <c r="O66" s="80">
        <v>0.45</v>
      </c>
      <c r="P66" s="80">
        <f>ROUND((M66+N66+O66)*7/100,4)</f>
        <v>0.24149999999999999</v>
      </c>
      <c r="Q66" s="81"/>
      <c r="R66" s="80">
        <f t="shared" si="18"/>
        <v>0.86250000000000004</v>
      </c>
      <c r="S66" s="64">
        <f t="shared" si="19"/>
        <v>4.5540000000000003</v>
      </c>
      <c r="T66" s="83">
        <f t="shared" si="20"/>
        <v>6785460</v>
      </c>
      <c r="U66" s="60" t="s">
        <v>34</v>
      </c>
      <c r="V66" s="85">
        <f t="shared" si="14"/>
        <v>0</v>
      </c>
      <c r="W66" s="85"/>
      <c r="X66" s="85"/>
      <c r="Y66" s="85">
        <f t="shared" si="21"/>
        <v>3.4500000000000003E-2</v>
      </c>
      <c r="Z66" s="85"/>
      <c r="AA66" s="85"/>
      <c r="AB66" s="85">
        <f t="shared" si="22"/>
        <v>0</v>
      </c>
      <c r="AC66" s="85">
        <f t="shared" si="23"/>
        <v>3.4500000000000003E-2</v>
      </c>
      <c r="AD66" s="86">
        <f t="shared" si="24"/>
        <v>51405.000000000007</v>
      </c>
      <c r="AE66" s="84" t="s">
        <v>408</v>
      </c>
    </row>
    <row r="67" spans="1:31" ht="39.75" customHeight="1" x14ac:dyDescent="0.25">
      <c r="A67" s="96">
        <v>40</v>
      </c>
      <c r="B67" s="97" t="s">
        <v>105</v>
      </c>
      <c r="C67" s="96"/>
      <c r="D67" s="98">
        <v>3.99</v>
      </c>
      <c r="E67" s="99"/>
      <c r="F67" s="98">
        <v>0.35</v>
      </c>
      <c r="G67" s="99">
        <f>ROUND((D67+E67+F67)*14/100,4)</f>
        <v>0.60760000000000003</v>
      </c>
      <c r="H67" s="98"/>
      <c r="I67" s="99">
        <f t="shared" si="15"/>
        <v>1.085</v>
      </c>
      <c r="J67" s="99">
        <f t="shared" si="16"/>
        <v>6.0326000000000004</v>
      </c>
      <c r="K67" s="100">
        <f t="shared" ref="K67" si="36">ROUND(J67*$B$6,4)</f>
        <v>8988574</v>
      </c>
      <c r="L67" s="98"/>
      <c r="M67" s="98">
        <v>3.99</v>
      </c>
      <c r="N67" s="99"/>
      <c r="O67" s="98">
        <v>0.35</v>
      </c>
      <c r="P67" s="99">
        <f>ROUND((M67+N67+O67)*15/100,4)</f>
        <v>0.65100000000000002</v>
      </c>
      <c r="Q67" s="98"/>
      <c r="R67" s="99">
        <f t="shared" si="18"/>
        <v>1.085</v>
      </c>
      <c r="S67" s="99">
        <f t="shared" si="19"/>
        <v>6.0759999999999996</v>
      </c>
      <c r="T67" s="100">
        <f t="shared" si="20"/>
        <v>9053240</v>
      </c>
      <c r="U67" s="141" t="s">
        <v>31</v>
      </c>
      <c r="V67" s="98">
        <f t="shared" si="14"/>
        <v>0</v>
      </c>
      <c r="W67" s="99"/>
      <c r="X67" s="98"/>
      <c r="Y67" s="99">
        <f t="shared" si="21"/>
        <v>4.3399999999999994E-2</v>
      </c>
      <c r="Z67" s="98"/>
      <c r="AA67" s="98"/>
      <c r="AB67" s="99">
        <f t="shared" si="22"/>
        <v>0</v>
      </c>
      <c r="AC67" s="99">
        <f t="shared" si="23"/>
        <v>4.3399999999999994E-2</v>
      </c>
      <c r="AD67" s="100">
        <f t="shared" si="24"/>
        <v>64665.999999999993</v>
      </c>
      <c r="AE67" s="84" t="s">
        <v>402</v>
      </c>
    </row>
    <row r="68" spans="1:31" ht="35.25" customHeight="1" x14ac:dyDescent="0.25">
      <c r="A68" s="96">
        <v>41</v>
      </c>
      <c r="B68" s="77" t="s">
        <v>130</v>
      </c>
      <c r="C68" s="79"/>
      <c r="D68" s="35"/>
      <c r="E68" s="80"/>
      <c r="F68" s="80"/>
      <c r="G68" s="80">
        <f t="shared" si="35"/>
        <v>0</v>
      </c>
      <c r="H68" s="81"/>
      <c r="I68" s="80">
        <f t="shared" si="15"/>
        <v>0</v>
      </c>
      <c r="J68" s="80">
        <f t="shared" si="16"/>
        <v>0</v>
      </c>
      <c r="K68" s="76">
        <f t="shared" si="17"/>
        <v>0</v>
      </c>
      <c r="L68" s="82"/>
      <c r="M68" s="88">
        <v>2.1</v>
      </c>
      <c r="N68" s="80"/>
      <c r="O68" s="80"/>
      <c r="P68" s="80"/>
      <c r="Q68" s="81"/>
      <c r="R68" s="80"/>
      <c r="S68" s="64">
        <f t="shared" si="19"/>
        <v>2.1</v>
      </c>
      <c r="T68" s="83">
        <f t="shared" si="20"/>
        <v>3129000</v>
      </c>
      <c r="U68" s="60" t="s">
        <v>131</v>
      </c>
      <c r="V68" s="85">
        <f t="shared" si="14"/>
        <v>2.1</v>
      </c>
      <c r="W68" s="85"/>
      <c r="X68" s="85"/>
      <c r="Y68" s="85">
        <f t="shared" si="21"/>
        <v>0</v>
      </c>
      <c r="Z68" s="85"/>
      <c r="AA68" s="85"/>
      <c r="AB68" s="85">
        <f t="shared" si="22"/>
        <v>0</v>
      </c>
      <c r="AC68" s="85">
        <f t="shared" si="23"/>
        <v>2.1</v>
      </c>
      <c r="AD68" s="86">
        <f t="shared" si="24"/>
        <v>3129000</v>
      </c>
      <c r="AE68" s="84" t="s">
        <v>409</v>
      </c>
    </row>
    <row r="69" spans="1:31" ht="22.5" customHeight="1" x14ac:dyDescent="0.25">
      <c r="A69" s="34" t="s">
        <v>36</v>
      </c>
      <c r="B69" s="66"/>
      <c r="C69" s="63"/>
      <c r="D69" s="73">
        <f t="shared" ref="D69:AD69" si="37">D70+D72</f>
        <v>3.46</v>
      </c>
      <c r="E69" s="68">
        <f t="shared" si="37"/>
        <v>0</v>
      </c>
      <c r="F69" s="73">
        <f t="shared" si="37"/>
        <v>0</v>
      </c>
      <c r="G69" s="68">
        <f t="shared" si="37"/>
        <v>0</v>
      </c>
      <c r="H69" s="73">
        <f t="shared" si="37"/>
        <v>0</v>
      </c>
      <c r="I69" s="68">
        <f t="shared" si="37"/>
        <v>0</v>
      </c>
      <c r="J69" s="68">
        <f t="shared" si="37"/>
        <v>3.46</v>
      </c>
      <c r="K69" s="67">
        <f t="shared" si="37"/>
        <v>5155400</v>
      </c>
      <c r="L69" s="73">
        <f t="shared" si="37"/>
        <v>0</v>
      </c>
      <c r="M69" s="73">
        <f t="shared" si="37"/>
        <v>0</v>
      </c>
      <c r="N69" s="68">
        <f t="shared" si="37"/>
        <v>0</v>
      </c>
      <c r="O69" s="73">
        <f t="shared" si="37"/>
        <v>0</v>
      </c>
      <c r="P69" s="68">
        <f t="shared" si="37"/>
        <v>0</v>
      </c>
      <c r="Q69" s="73">
        <f t="shared" si="37"/>
        <v>0</v>
      </c>
      <c r="R69" s="68">
        <f t="shared" si="37"/>
        <v>0</v>
      </c>
      <c r="S69" s="68">
        <f t="shared" si="37"/>
        <v>0</v>
      </c>
      <c r="T69" s="68">
        <f t="shared" si="37"/>
        <v>0</v>
      </c>
      <c r="U69" s="67">
        <f t="shared" si="37"/>
        <v>0</v>
      </c>
      <c r="V69" s="73">
        <f t="shared" si="37"/>
        <v>3.46</v>
      </c>
      <c r="W69" s="68">
        <f t="shared" si="37"/>
        <v>0</v>
      </c>
      <c r="X69" s="73">
        <f t="shared" si="37"/>
        <v>0</v>
      </c>
      <c r="Y69" s="68">
        <f t="shared" si="37"/>
        <v>0</v>
      </c>
      <c r="Z69" s="73">
        <f t="shared" si="37"/>
        <v>0</v>
      </c>
      <c r="AA69" s="73">
        <f t="shared" si="37"/>
        <v>0</v>
      </c>
      <c r="AB69" s="68">
        <f t="shared" si="37"/>
        <v>0</v>
      </c>
      <c r="AC69" s="68">
        <f>AC70+AC72</f>
        <v>3.46</v>
      </c>
      <c r="AD69" s="67">
        <f t="shared" si="37"/>
        <v>5155400</v>
      </c>
      <c r="AE69" s="72"/>
    </row>
    <row r="70" spans="1:31" ht="23.25" customHeight="1" x14ac:dyDescent="0.25">
      <c r="A70" s="59"/>
      <c r="B70" s="214" t="s">
        <v>29</v>
      </c>
      <c r="C70" s="60"/>
      <c r="D70" s="74">
        <f t="shared" ref="D70:AE70" si="38">SUM(D71:D71)</f>
        <v>0</v>
      </c>
      <c r="E70" s="78">
        <f t="shared" si="38"/>
        <v>0</v>
      </c>
      <c r="F70" s="74">
        <f t="shared" si="38"/>
        <v>0</v>
      </c>
      <c r="G70" s="78">
        <f t="shared" si="38"/>
        <v>0</v>
      </c>
      <c r="H70" s="74">
        <f t="shared" si="38"/>
        <v>0</v>
      </c>
      <c r="I70" s="78">
        <f t="shared" si="38"/>
        <v>0</v>
      </c>
      <c r="J70" s="78">
        <f t="shared" si="38"/>
        <v>0</v>
      </c>
      <c r="K70" s="75">
        <f t="shared" si="38"/>
        <v>0</v>
      </c>
      <c r="L70" s="74">
        <f t="shared" si="38"/>
        <v>0</v>
      </c>
      <c r="M70" s="74">
        <f t="shared" si="38"/>
        <v>0</v>
      </c>
      <c r="N70" s="78">
        <f t="shared" si="38"/>
        <v>0</v>
      </c>
      <c r="O70" s="74">
        <f t="shared" si="38"/>
        <v>0</v>
      </c>
      <c r="P70" s="78">
        <f t="shared" si="38"/>
        <v>0</v>
      </c>
      <c r="Q70" s="74">
        <f t="shared" si="38"/>
        <v>0</v>
      </c>
      <c r="R70" s="78">
        <f t="shared" si="38"/>
        <v>0</v>
      </c>
      <c r="S70" s="78">
        <f t="shared" si="38"/>
        <v>0</v>
      </c>
      <c r="T70" s="74">
        <f t="shared" si="38"/>
        <v>0</v>
      </c>
      <c r="U70" s="67">
        <f t="shared" si="38"/>
        <v>0</v>
      </c>
      <c r="V70" s="74">
        <f t="shared" si="38"/>
        <v>0</v>
      </c>
      <c r="W70" s="74">
        <f t="shared" si="38"/>
        <v>0</v>
      </c>
      <c r="X70" s="74">
        <f t="shared" si="38"/>
        <v>0</v>
      </c>
      <c r="Y70" s="78">
        <f t="shared" si="38"/>
        <v>0</v>
      </c>
      <c r="Z70" s="74">
        <f t="shared" si="38"/>
        <v>0</v>
      </c>
      <c r="AA70" s="74">
        <f t="shared" si="38"/>
        <v>0</v>
      </c>
      <c r="AB70" s="78">
        <f t="shared" si="38"/>
        <v>0</v>
      </c>
      <c r="AC70" s="78">
        <f t="shared" si="38"/>
        <v>0</v>
      </c>
      <c r="AD70" s="75">
        <f t="shared" si="38"/>
        <v>0</v>
      </c>
      <c r="AE70" s="74">
        <f t="shared" si="38"/>
        <v>0</v>
      </c>
    </row>
    <row r="71" spans="1:31" ht="28.5" hidden="1" customHeight="1" x14ac:dyDescent="0.25">
      <c r="A71" s="207"/>
      <c r="B71" s="215"/>
      <c r="C71" s="208"/>
      <c r="D71" s="209"/>
      <c r="E71" s="182"/>
      <c r="F71" s="182"/>
      <c r="G71" s="182"/>
      <c r="H71" s="182"/>
      <c r="I71" s="182"/>
      <c r="J71" s="182"/>
      <c r="K71" s="183"/>
      <c r="L71" s="182"/>
      <c r="M71" s="210"/>
      <c r="N71" s="182"/>
      <c r="O71" s="182"/>
      <c r="P71" s="182"/>
      <c r="Q71" s="182"/>
      <c r="R71" s="182"/>
      <c r="S71" s="211"/>
      <c r="T71" s="183"/>
      <c r="U71" s="60"/>
      <c r="V71" s="184"/>
      <c r="W71" s="184"/>
      <c r="X71" s="184"/>
      <c r="Y71" s="184"/>
      <c r="Z71" s="184"/>
      <c r="AA71" s="184"/>
      <c r="AB71" s="184"/>
      <c r="AC71" s="184"/>
      <c r="AD71" s="185"/>
      <c r="AE71" s="212"/>
    </row>
    <row r="72" spans="1:31" ht="48" customHeight="1" x14ac:dyDescent="0.25">
      <c r="A72" s="192"/>
      <c r="B72" s="193" t="s">
        <v>33</v>
      </c>
      <c r="C72" s="193"/>
      <c r="D72" s="194">
        <f t="shared" ref="D72:AD72" si="39">SUM(D73:D73)</f>
        <v>3.46</v>
      </c>
      <c r="E72" s="194">
        <f t="shared" si="39"/>
        <v>0</v>
      </c>
      <c r="F72" s="194">
        <f t="shared" si="39"/>
        <v>0</v>
      </c>
      <c r="G72" s="195">
        <f t="shared" si="39"/>
        <v>0</v>
      </c>
      <c r="H72" s="194">
        <f t="shared" si="39"/>
        <v>0</v>
      </c>
      <c r="I72" s="195">
        <f t="shared" si="39"/>
        <v>0</v>
      </c>
      <c r="J72" s="195">
        <f t="shared" si="39"/>
        <v>3.46</v>
      </c>
      <c r="K72" s="196">
        <f t="shared" si="39"/>
        <v>5155400</v>
      </c>
      <c r="L72" s="194">
        <f t="shared" si="39"/>
        <v>0</v>
      </c>
      <c r="M72" s="194">
        <f t="shared" si="39"/>
        <v>0</v>
      </c>
      <c r="N72" s="194">
        <f t="shared" si="39"/>
        <v>0</v>
      </c>
      <c r="O72" s="194">
        <f t="shared" si="39"/>
        <v>0</v>
      </c>
      <c r="P72" s="195">
        <f t="shared" si="39"/>
        <v>0</v>
      </c>
      <c r="Q72" s="194">
        <f t="shared" si="39"/>
        <v>0</v>
      </c>
      <c r="R72" s="195">
        <f t="shared" si="39"/>
        <v>0</v>
      </c>
      <c r="S72" s="195">
        <f t="shared" si="39"/>
        <v>0</v>
      </c>
      <c r="T72" s="196">
        <f t="shared" si="39"/>
        <v>0</v>
      </c>
      <c r="U72" s="194">
        <f t="shared" si="39"/>
        <v>0</v>
      </c>
      <c r="V72" s="194">
        <f t="shared" si="39"/>
        <v>3.46</v>
      </c>
      <c r="W72" s="194">
        <f t="shared" si="39"/>
        <v>0</v>
      </c>
      <c r="X72" s="194">
        <f t="shared" si="39"/>
        <v>0</v>
      </c>
      <c r="Y72" s="195">
        <f t="shared" si="39"/>
        <v>0</v>
      </c>
      <c r="Z72" s="194">
        <f t="shared" si="39"/>
        <v>0</v>
      </c>
      <c r="AA72" s="194">
        <f t="shared" si="39"/>
        <v>0</v>
      </c>
      <c r="AB72" s="195">
        <f t="shared" si="39"/>
        <v>0</v>
      </c>
      <c r="AC72" s="195">
        <f t="shared" si="39"/>
        <v>3.46</v>
      </c>
      <c r="AD72" s="196">
        <f t="shared" si="39"/>
        <v>5155400</v>
      </c>
      <c r="AE72" s="110"/>
    </row>
    <row r="73" spans="1:31" ht="46.5" customHeight="1" x14ac:dyDescent="0.25">
      <c r="A73" s="192">
        <v>1</v>
      </c>
      <c r="B73" s="112" t="s">
        <v>232</v>
      </c>
      <c r="C73" s="112"/>
      <c r="D73" s="218">
        <v>3.46</v>
      </c>
      <c r="E73" s="116"/>
      <c r="F73" s="116"/>
      <c r="G73" s="114"/>
      <c r="H73" s="219"/>
      <c r="I73" s="114"/>
      <c r="J73" s="114">
        <f>SUM(D73:I73)</f>
        <v>3.46</v>
      </c>
      <c r="K73" s="115">
        <f>J73*$B$6</f>
        <v>5155400</v>
      </c>
      <c r="L73" s="116"/>
      <c r="M73" s="116"/>
      <c r="N73" s="116"/>
      <c r="O73" s="116"/>
      <c r="P73" s="116"/>
      <c r="Q73" s="219"/>
      <c r="R73" s="114"/>
      <c r="S73" s="114"/>
      <c r="T73" s="115"/>
      <c r="U73" s="63"/>
      <c r="V73" s="218">
        <f>D73</f>
        <v>3.46</v>
      </c>
      <c r="W73" s="116"/>
      <c r="X73" s="116"/>
      <c r="Y73" s="114"/>
      <c r="Z73" s="116"/>
      <c r="AA73" s="116"/>
      <c r="AB73" s="114"/>
      <c r="AC73" s="114">
        <f>J73</f>
        <v>3.46</v>
      </c>
      <c r="AD73" s="115">
        <f>K73</f>
        <v>5155400</v>
      </c>
      <c r="AE73" s="31" t="s">
        <v>413</v>
      </c>
    </row>
    <row r="74" spans="1:31" ht="24" customHeight="1" x14ac:dyDescent="0.25">
      <c r="A74" s="43"/>
      <c r="B74" s="42"/>
      <c r="C74" s="8"/>
      <c r="D74" s="9"/>
      <c r="E74" s="10"/>
      <c r="F74" s="11"/>
      <c r="G74" s="22"/>
      <c r="H74" s="22"/>
      <c r="I74" s="22"/>
      <c r="J74" s="23"/>
      <c r="K74" s="24"/>
      <c r="L74" s="12"/>
      <c r="M74" s="13"/>
      <c r="N74" s="13"/>
      <c r="O74" s="7"/>
      <c r="P74" s="7"/>
      <c r="Q74" s="14"/>
      <c r="R74" s="18"/>
      <c r="S74" s="18"/>
      <c r="T74" s="18"/>
      <c r="U74" s="18"/>
      <c r="V74" s="7"/>
      <c r="W74" s="220"/>
      <c r="X74" s="221"/>
      <c r="Y74" s="42"/>
      <c r="Z74" s="42"/>
      <c r="AA74" s="42"/>
      <c r="AB74" s="42"/>
      <c r="AC74" s="42"/>
      <c r="AD74" s="42"/>
      <c r="AE74" s="18"/>
    </row>
    <row r="75" spans="1:31" ht="15.75" x14ac:dyDescent="0.25">
      <c r="A75" s="43"/>
      <c r="B75" s="42"/>
      <c r="C75" s="8"/>
      <c r="D75" s="9"/>
      <c r="E75" s="10"/>
      <c r="F75" s="11"/>
      <c r="G75" s="22"/>
      <c r="H75" s="22"/>
      <c r="I75" s="22"/>
      <c r="J75" s="23"/>
      <c r="K75" s="24"/>
      <c r="L75" s="12"/>
      <c r="M75" s="13"/>
      <c r="N75" s="13"/>
      <c r="O75" s="7"/>
      <c r="P75" s="7"/>
      <c r="Q75" s="14"/>
      <c r="R75" s="18"/>
      <c r="S75" s="18"/>
      <c r="T75" s="18"/>
      <c r="U75" s="18"/>
      <c r="V75" s="15"/>
      <c r="W75" s="6"/>
      <c r="X75" s="33"/>
      <c r="Y75" s="44"/>
      <c r="Z75" s="44"/>
      <c r="AA75" s="301" t="s">
        <v>410</v>
      </c>
      <c r="AB75" s="301"/>
      <c r="AC75" s="301"/>
      <c r="AD75" s="301"/>
      <c r="AE75" s="301"/>
    </row>
    <row r="76" spans="1:31" ht="15.75" x14ac:dyDescent="0.25">
      <c r="A76" s="43"/>
      <c r="B76" s="291" t="s">
        <v>37</v>
      </c>
      <c r="C76" s="291"/>
      <c r="D76" s="291"/>
      <c r="E76" s="291"/>
      <c r="F76" s="291"/>
      <c r="G76" s="291"/>
      <c r="H76" s="291"/>
      <c r="I76" s="291"/>
      <c r="J76" s="291"/>
      <c r="K76" s="291"/>
      <c r="L76" s="291"/>
      <c r="M76" s="291"/>
      <c r="N76" s="291"/>
      <c r="O76" s="291"/>
      <c r="P76" s="291"/>
      <c r="Q76" s="291"/>
      <c r="R76" s="291"/>
      <c r="S76" s="291"/>
      <c r="T76" s="291"/>
      <c r="U76" s="291"/>
      <c r="V76" s="3"/>
      <c r="W76" s="291" t="s">
        <v>38</v>
      </c>
      <c r="X76" s="291"/>
      <c r="Y76" s="291"/>
      <c r="Z76" s="291"/>
      <c r="AA76" s="302" t="s">
        <v>39</v>
      </c>
      <c r="AB76" s="302"/>
      <c r="AC76" s="302"/>
      <c r="AD76" s="302"/>
      <c r="AE76" s="302"/>
    </row>
    <row r="77" spans="1:31" ht="15.75" x14ac:dyDescent="0.25">
      <c r="A77" s="43"/>
      <c r="B77" s="2"/>
      <c r="C77" s="2"/>
      <c r="D77" s="2"/>
      <c r="E77" s="2"/>
      <c r="F77" s="2"/>
      <c r="G77" s="4"/>
      <c r="H77" s="4"/>
      <c r="I77" s="2"/>
      <c r="J77" s="2"/>
      <c r="K77" s="4"/>
      <c r="L77" s="2"/>
      <c r="M77" s="2"/>
      <c r="N77" s="2"/>
      <c r="O77" s="2"/>
      <c r="P77" s="2"/>
      <c r="Q77" s="2"/>
      <c r="R77" s="2"/>
      <c r="S77" s="287"/>
      <c r="T77" s="287"/>
      <c r="U77" s="287"/>
      <c r="V77" s="25"/>
      <c r="W77" s="287"/>
      <c r="X77" s="286"/>
      <c r="Y77" s="2"/>
      <c r="Z77" s="2"/>
      <c r="AA77" s="2"/>
      <c r="AB77" s="286"/>
      <c r="AC77" s="47"/>
      <c r="AD77" s="47"/>
      <c r="AE77" s="4"/>
    </row>
    <row r="78" spans="1:31" ht="15.75" x14ac:dyDescent="0.25">
      <c r="A78" s="43"/>
      <c r="B78" s="2"/>
      <c r="C78" s="2"/>
      <c r="D78" s="2"/>
      <c r="E78" s="2"/>
      <c r="F78" s="2"/>
      <c r="G78" s="4"/>
      <c r="H78" s="4"/>
      <c r="I78" s="2"/>
      <c r="J78" s="2"/>
      <c r="K78" s="4"/>
      <c r="L78" s="2"/>
      <c r="M78" s="2"/>
      <c r="N78" s="2"/>
      <c r="O78" s="2"/>
      <c r="P78" s="2"/>
      <c r="Q78" s="2"/>
      <c r="R78" s="2"/>
      <c r="S78" s="287"/>
      <c r="T78" s="25"/>
      <c r="U78" s="25"/>
      <c r="V78" s="2"/>
      <c r="W78" s="2"/>
      <c r="X78" s="2"/>
      <c r="Y78" s="48"/>
      <c r="Z78" s="2"/>
      <c r="AA78" s="2"/>
      <c r="AB78" s="2"/>
      <c r="AC78" s="41"/>
      <c r="AD78" s="41"/>
      <c r="AE78" s="3"/>
    </row>
    <row r="79" spans="1:31" ht="15.75" x14ac:dyDescent="0.25">
      <c r="A79" s="43"/>
      <c r="B79" s="2"/>
      <c r="C79" s="2"/>
      <c r="D79" s="2"/>
      <c r="E79" s="2"/>
      <c r="F79" s="2"/>
      <c r="G79" s="4"/>
      <c r="H79" s="4"/>
      <c r="I79" s="2"/>
      <c r="J79" s="2"/>
      <c r="K79" s="4"/>
      <c r="L79" s="2"/>
      <c r="M79" s="2"/>
      <c r="N79" s="2"/>
      <c r="O79" s="2"/>
      <c r="P79" s="2"/>
      <c r="Q79" s="2"/>
      <c r="R79" s="2"/>
      <c r="S79" s="2"/>
      <c r="T79" s="25"/>
      <c r="U79" s="25"/>
      <c r="V79" s="2"/>
      <c r="W79" s="2"/>
      <c r="X79" s="2"/>
      <c r="Y79" s="48"/>
      <c r="Z79" s="2"/>
      <c r="AA79" s="2"/>
      <c r="AB79" s="2"/>
      <c r="AC79" s="41"/>
      <c r="AD79" s="41"/>
      <c r="AE79" s="3"/>
    </row>
    <row r="80" spans="1:31" ht="15.75" x14ac:dyDescent="0.25">
      <c r="A80" s="43"/>
      <c r="B80" s="2"/>
      <c r="C80" s="2"/>
      <c r="D80" s="2"/>
      <c r="E80" s="2"/>
      <c r="F80" s="2"/>
      <c r="G80" s="4"/>
      <c r="H80" s="4"/>
      <c r="I80" s="2"/>
      <c r="J80" s="2"/>
      <c r="K80" s="4"/>
      <c r="L80" s="2"/>
      <c r="M80" s="2"/>
      <c r="N80" s="2"/>
      <c r="O80" s="2"/>
      <c r="P80" s="2"/>
      <c r="Q80" s="2"/>
      <c r="R80" s="2"/>
      <c r="S80" s="2"/>
      <c r="T80" s="25"/>
      <c r="U80" s="25"/>
      <c r="V80" s="2"/>
      <c r="W80" s="2"/>
      <c r="X80" s="2"/>
      <c r="Y80" s="48"/>
      <c r="Z80" s="2"/>
      <c r="AA80" s="2"/>
      <c r="AB80" s="2"/>
      <c r="AC80" s="41"/>
      <c r="AD80" s="41"/>
      <c r="AE80" s="3"/>
    </row>
    <row r="81" spans="1:31" ht="15.75" x14ac:dyDescent="0.25">
      <c r="A81" s="43"/>
      <c r="B81" s="2"/>
      <c r="C81" s="2"/>
      <c r="D81" s="2"/>
      <c r="E81" s="2"/>
      <c r="F81" s="2"/>
      <c r="G81" s="4"/>
      <c r="H81" s="4"/>
      <c r="I81" s="2"/>
      <c r="J81" s="2"/>
      <c r="K81" s="4"/>
      <c r="L81" s="2"/>
      <c r="M81" s="2"/>
      <c r="N81" s="2"/>
      <c r="O81" s="2"/>
      <c r="P81" s="2"/>
      <c r="Q81" s="2"/>
      <c r="R81" s="2"/>
      <c r="S81" s="2"/>
      <c r="T81" s="25"/>
      <c r="U81" s="25"/>
      <c r="V81" s="2"/>
      <c r="W81" s="2"/>
      <c r="X81" s="2"/>
      <c r="Y81" s="48"/>
      <c r="Z81" s="2"/>
      <c r="AA81" s="2"/>
      <c r="AB81" s="2"/>
      <c r="AC81" s="41"/>
      <c r="AD81" s="41"/>
      <c r="AE81" s="3"/>
    </row>
    <row r="82" spans="1:31" ht="15.75" x14ac:dyDescent="0.25">
      <c r="A82" s="43"/>
      <c r="B82" s="291" t="s">
        <v>40</v>
      </c>
      <c r="C82" s="291"/>
      <c r="D82" s="291"/>
      <c r="E82" s="291"/>
      <c r="F82" s="291"/>
      <c r="G82" s="291"/>
      <c r="H82" s="291"/>
      <c r="I82" s="291"/>
      <c r="J82" s="291"/>
      <c r="K82" s="291"/>
      <c r="L82" s="291"/>
      <c r="M82" s="291"/>
      <c r="N82" s="291"/>
      <c r="O82" s="291"/>
      <c r="P82" s="291"/>
      <c r="Q82" s="291"/>
      <c r="R82" s="291"/>
      <c r="S82" s="291"/>
      <c r="T82" s="291"/>
      <c r="U82" s="291"/>
      <c r="V82" s="2"/>
      <c r="W82" s="291" t="s">
        <v>41</v>
      </c>
      <c r="X82" s="291"/>
      <c r="Y82" s="291"/>
      <c r="Z82" s="291"/>
      <c r="AA82" s="291" t="s">
        <v>42</v>
      </c>
      <c r="AB82" s="291"/>
      <c r="AC82" s="291"/>
      <c r="AD82" s="291"/>
      <c r="AE82" s="291"/>
    </row>
  </sheetData>
  <mergeCells count="20">
    <mergeCell ref="B82:U82"/>
    <mergeCell ref="W82:Z82"/>
    <mergeCell ref="AA82:AE82"/>
    <mergeCell ref="A7:A8"/>
    <mergeCell ref="B7:B8"/>
    <mergeCell ref="C7:K7"/>
    <mergeCell ref="L7:T7"/>
    <mergeCell ref="U7:U8"/>
    <mergeCell ref="V7:AD7"/>
    <mergeCell ref="AE7:AE8"/>
    <mergeCell ref="AA75:AE75"/>
    <mergeCell ref="B76:U76"/>
    <mergeCell ref="W76:Z76"/>
    <mergeCell ref="AA76:AE76"/>
    <mergeCell ref="A5:AE5"/>
    <mergeCell ref="A1:U1"/>
    <mergeCell ref="AA1:AE1"/>
    <mergeCell ref="A2:U2"/>
    <mergeCell ref="AA2:AE2"/>
    <mergeCell ref="A3:U3"/>
  </mergeCells>
  <pageMargins left="0.39370078740157483" right="0.27559055118110237" top="0.55118110236220474" bottom="0.47244094488188981" header="0.31496062992125984" footer="0.31496062992125984"/>
  <pageSetup paperSize="9" orientation="landscape" r:id="rId1"/>
  <headerFooter>
    <oddFooter>&amp;C&amp;10&amp;P/&amp;N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9"/>
  <sheetViews>
    <sheetView tabSelected="1" workbookViewId="0">
      <selection activeCell="K13" sqref="K13"/>
    </sheetView>
  </sheetViews>
  <sheetFormatPr defaultRowHeight="15" x14ac:dyDescent="0.25"/>
  <cols>
    <col min="1" max="1" width="4.5703125" style="1" customWidth="1"/>
    <col min="2" max="2" width="20.85546875" style="1" customWidth="1"/>
    <col min="3" max="3" width="9.140625" style="1" customWidth="1"/>
    <col min="4" max="4" width="11" style="1" customWidth="1"/>
    <col min="5" max="5" width="10.28515625" style="1" customWidth="1"/>
    <col min="6" max="6" width="9.7109375" style="1" customWidth="1"/>
    <col min="7" max="7" width="12" style="1" customWidth="1"/>
    <col min="8" max="8" width="9.140625" style="1" customWidth="1"/>
    <col min="9" max="10" width="10.7109375" style="1" customWidth="1"/>
    <col min="11" max="11" width="15.42578125" style="1" customWidth="1"/>
    <col min="12" max="12" width="9.140625" style="1" customWidth="1"/>
    <col min="13" max="13" width="10" style="1" customWidth="1"/>
    <col min="14" max="14" width="9.5703125" style="1" customWidth="1"/>
    <col min="15" max="15" width="9.140625" style="1" customWidth="1"/>
    <col min="16" max="16" width="11.140625" style="1" customWidth="1"/>
    <col min="17" max="17" width="9.140625" style="1" customWidth="1"/>
    <col min="18" max="18" width="11.5703125" style="1" customWidth="1"/>
    <col min="19" max="19" width="12.28515625" style="1" customWidth="1"/>
    <col min="20" max="20" width="14.140625" style="1" customWidth="1"/>
    <col min="21" max="21" width="11.5703125" style="1" customWidth="1"/>
    <col min="22" max="22" width="9.42578125" style="1" customWidth="1"/>
    <col min="23" max="23" width="10.140625" style="1" customWidth="1"/>
    <col min="24" max="24" width="9" style="1" customWidth="1"/>
    <col min="25" max="25" width="10" style="1" customWidth="1"/>
    <col min="26" max="26" width="7.7109375" style="1" customWidth="1"/>
    <col min="27" max="27" width="8.5703125" style="1" customWidth="1"/>
    <col min="28" max="28" width="9.42578125" style="1" customWidth="1"/>
    <col min="29" max="29" width="10.42578125" style="1" customWidth="1"/>
    <col min="30" max="30" width="13" style="1" customWidth="1"/>
    <col min="31" max="31" width="12.140625" style="1" customWidth="1"/>
    <col min="32" max="16384" width="9.140625" style="1"/>
  </cols>
  <sheetData>
    <row r="1" spans="1:31" ht="15.75" x14ac:dyDescent="0.25">
      <c r="A1" s="304" t="s">
        <v>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2"/>
      <c r="W1" s="2"/>
      <c r="X1" s="46"/>
      <c r="Y1" s="46"/>
      <c r="Z1" s="46"/>
      <c r="AA1" s="291" t="s">
        <v>1</v>
      </c>
      <c r="AB1" s="291"/>
      <c r="AC1" s="291"/>
      <c r="AD1" s="291"/>
      <c r="AE1" s="291"/>
    </row>
    <row r="2" spans="1:31" ht="15.75" x14ac:dyDescent="0.25">
      <c r="A2" s="291" t="s">
        <v>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"/>
      <c r="W2" s="2"/>
      <c r="X2" s="46"/>
      <c r="Y2" s="46"/>
      <c r="Z2" s="46"/>
      <c r="AA2" s="291" t="s">
        <v>3</v>
      </c>
      <c r="AB2" s="291"/>
      <c r="AC2" s="291"/>
      <c r="AD2" s="291"/>
      <c r="AE2" s="291"/>
    </row>
    <row r="3" spans="1:31" ht="15.75" x14ac:dyDescent="0.25">
      <c r="A3" s="305" t="s">
        <v>4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25" x14ac:dyDescent="0.3">
      <c r="A5" s="303" t="s">
        <v>411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</row>
    <row r="6" spans="1:31" ht="15" customHeight="1" x14ac:dyDescent="0.25">
      <c r="A6" s="2"/>
      <c r="B6" s="54">
        <v>1490000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92" t="s">
        <v>5</v>
      </c>
      <c r="B7" s="292" t="s">
        <v>6</v>
      </c>
      <c r="C7" s="294" t="s">
        <v>44</v>
      </c>
      <c r="D7" s="295"/>
      <c r="E7" s="295"/>
      <c r="F7" s="295"/>
      <c r="G7" s="295"/>
      <c r="H7" s="295"/>
      <c r="I7" s="295"/>
      <c r="J7" s="295"/>
      <c r="K7" s="296"/>
      <c r="L7" s="294" t="s">
        <v>415</v>
      </c>
      <c r="M7" s="295"/>
      <c r="N7" s="295"/>
      <c r="O7" s="295"/>
      <c r="P7" s="295"/>
      <c r="Q7" s="295"/>
      <c r="R7" s="295"/>
      <c r="S7" s="295"/>
      <c r="T7" s="296"/>
      <c r="U7" s="297" t="s">
        <v>7</v>
      </c>
      <c r="V7" s="294" t="s">
        <v>8</v>
      </c>
      <c r="W7" s="295"/>
      <c r="X7" s="295"/>
      <c r="Y7" s="295"/>
      <c r="Z7" s="295"/>
      <c r="AA7" s="295"/>
      <c r="AB7" s="295"/>
      <c r="AC7" s="295"/>
      <c r="AD7" s="295"/>
      <c r="AE7" s="299" t="s">
        <v>9</v>
      </c>
    </row>
    <row r="8" spans="1:31" ht="55.5" customHeight="1" x14ac:dyDescent="0.25">
      <c r="A8" s="293"/>
      <c r="B8" s="293"/>
      <c r="C8" s="28" t="s">
        <v>7</v>
      </c>
      <c r="D8" s="28" t="s">
        <v>10</v>
      </c>
      <c r="E8" s="29" t="s">
        <v>11</v>
      </c>
      <c r="F8" s="28" t="s">
        <v>12</v>
      </c>
      <c r="G8" s="30" t="s">
        <v>13</v>
      </c>
      <c r="H8" s="56" t="s">
        <v>14</v>
      </c>
      <c r="I8" s="30" t="s">
        <v>15</v>
      </c>
      <c r="J8" s="36" t="s">
        <v>16</v>
      </c>
      <c r="K8" s="37" t="s">
        <v>17</v>
      </c>
      <c r="L8" s="38" t="s">
        <v>7</v>
      </c>
      <c r="M8" s="38" t="s">
        <v>10</v>
      </c>
      <c r="N8" s="39" t="s">
        <v>11</v>
      </c>
      <c r="O8" s="38" t="s">
        <v>12</v>
      </c>
      <c r="P8" s="38" t="s">
        <v>18</v>
      </c>
      <c r="Q8" s="56" t="s">
        <v>14</v>
      </c>
      <c r="R8" s="40" t="s">
        <v>15</v>
      </c>
      <c r="S8" s="36" t="s">
        <v>16</v>
      </c>
      <c r="T8" s="37" t="s">
        <v>17</v>
      </c>
      <c r="U8" s="298" t="s">
        <v>7</v>
      </c>
      <c r="V8" s="38" t="s">
        <v>10</v>
      </c>
      <c r="W8" s="39" t="s">
        <v>11</v>
      </c>
      <c r="X8" s="55" t="s">
        <v>12</v>
      </c>
      <c r="Y8" s="56" t="s">
        <v>13</v>
      </c>
      <c r="Z8" s="56" t="s">
        <v>19</v>
      </c>
      <c r="AA8" s="56" t="s">
        <v>20</v>
      </c>
      <c r="AB8" s="56" t="s">
        <v>15</v>
      </c>
      <c r="AC8" s="57" t="s">
        <v>16</v>
      </c>
      <c r="AD8" s="37" t="s">
        <v>21</v>
      </c>
      <c r="AE8" s="300"/>
    </row>
    <row r="9" spans="1:31" ht="24" x14ac:dyDescent="0.25">
      <c r="A9" s="31" t="s">
        <v>22</v>
      </c>
      <c r="B9" s="31" t="s">
        <v>23</v>
      </c>
      <c r="C9" s="16"/>
      <c r="D9" s="16"/>
      <c r="E9" s="17"/>
      <c r="F9" s="16"/>
      <c r="G9" s="19"/>
      <c r="H9" s="19"/>
      <c r="I9" s="19"/>
      <c r="J9" s="20"/>
      <c r="K9" s="21"/>
      <c r="L9" s="16"/>
      <c r="M9" s="16"/>
      <c r="N9" s="17"/>
      <c r="O9" s="16"/>
      <c r="P9" s="16"/>
      <c r="Q9" s="19"/>
      <c r="R9" s="19"/>
      <c r="S9" s="20"/>
      <c r="T9" s="21"/>
      <c r="U9" s="21" t="s">
        <v>24</v>
      </c>
      <c r="V9" s="26">
        <v>1</v>
      </c>
      <c r="W9" s="26">
        <v>2</v>
      </c>
      <c r="X9" s="58">
        <v>3</v>
      </c>
      <c r="Y9" s="58">
        <v>4</v>
      </c>
      <c r="Z9" s="58">
        <v>5</v>
      </c>
      <c r="AA9" s="58">
        <v>6</v>
      </c>
      <c r="AB9" s="58">
        <v>7</v>
      </c>
      <c r="AC9" s="58" t="s">
        <v>25</v>
      </c>
      <c r="AD9" s="27" t="s">
        <v>226</v>
      </c>
      <c r="AE9" s="27" t="s">
        <v>27</v>
      </c>
    </row>
    <row r="10" spans="1:31" ht="30.75" customHeight="1" x14ac:dyDescent="0.25">
      <c r="A10" s="34" t="s">
        <v>28</v>
      </c>
      <c r="B10" s="32"/>
      <c r="C10" s="31"/>
      <c r="D10" s="49">
        <f t="shared" ref="D10:AD10" si="0">D11+D27</f>
        <v>138.56</v>
      </c>
      <c r="E10" s="50">
        <f t="shared" si="0"/>
        <v>6.7230000000000008</v>
      </c>
      <c r="F10" s="49">
        <f t="shared" si="0"/>
        <v>5.2000000000000011</v>
      </c>
      <c r="G10" s="50">
        <f t="shared" si="0"/>
        <v>19.773900000000001</v>
      </c>
      <c r="H10" s="49">
        <f t="shared" si="0"/>
        <v>0</v>
      </c>
      <c r="I10" s="50">
        <f t="shared" si="0"/>
        <v>32.714800000000004</v>
      </c>
      <c r="J10" s="50">
        <f t="shared" si="0"/>
        <v>202.9717</v>
      </c>
      <c r="K10" s="62">
        <f t="shared" si="0"/>
        <v>302427833</v>
      </c>
      <c r="L10" s="49">
        <f t="shared" si="0"/>
        <v>0</v>
      </c>
      <c r="M10" s="49">
        <f t="shared" si="0"/>
        <v>155.054</v>
      </c>
      <c r="N10" s="50">
        <f t="shared" si="0"/>
        <v>7.2707999999999995</v>
      </c>
      <c r="O10" s="49">
        <f t="shared" si="0"/>
        <v>5.2000000000000011</v>
      </c>
      <c r="P10" s="50">
        <f t="shared" si="0"/>
        <v>22.7423</v>
      </c>
      <c r="Q10" s="49">
        <f t="shared" si="0"/>
        <v>0</v>
      </c>
      <c r="R10" s="50">
        <f t="shared" si="0"/>
        <v>36.243200000000002</v>
      </c>
      <c r="S10" s="50">
        <f t="shared" si="0"/>
        <v>226.51030000000003</v>
      </c>
      <c r="T10" s="62">
        <f t="shared" si="0"/>
        <v>337500347</v>
      </c>
      <c r="U10" s="49">
        <f t="shared" si="0"/>
        <v>0</v>
      </c>
      <c r="V10" s="49">
        <f t="shared" si="0"/>
        <v>16.494</v>
      </c>
      <c r="W10" s="50">
        <f t="shared" si="0"/>
        <v>0.54779999999999984</v>
      </c>
      <c r="X10" s="49">
        <f t="shared" si="0"/>
        <v>0</v>
      </c>
      <c r="Y10" s="50">
        <f t="shared" si="0"/>
        <v>2.9683999999999995</v>
      </c>
      <c r="Z10" s="49">
        <f t="shared" si="0"/>
        <v>0</v>
      </c>
      <c r="AA10" s="49">
        <f t="shared" si="0"/>
        <v>0</v>
      </c>
      <c r="AB10" s="50">
        <f t="shared" si="0"/>
        <v>3.5283999999999995</v>
      </c>
      <c r="AC10" s="50">
        <f t="shared" si="0"/>
        <v>23.538600000000006</v>
      </c>
      <c r="AD10" s="62">
        <f t="shared" si="0"/>
        <v>35072514</v>
      </c>
      <c r="AE10" s="31"/>
    </row>
    <row r="11" spans="1:31" ht="23.25" customHeight="1" x14ac:dyDescent="0.25">
      <c r="A11" s="51"/>
      <c r="B11" s="52" t="s">
        <v>29</v>
      </c>
      <c r="C11" s="51"/>
      <c r="D11" s="53">
        <f t="shared" ref="D11:AD11" si="1">SUM(D12:D26)</f>
        <v>73.490000000000009</v>
      </c>
      <c r="E11" s="61">
        <f t="shared" si="1"/>
        <v>6.7230000000000008</v>
      </c>
      <c r="F11" s="53">
        <f t="shared" si="1"/>
        <v>3.7500000000000009</v>
      </c>
      <c r="G11" s="61">
        <f t="shared" si="1"/>
        <v>17.7317</v>
      </c>
      <c r="H11" s="53">
        <f t="shared" si="1"/>
        <v>0</v>
      </c>
      <c r="I11" s="61">
        <f t="shared" si="1"/>
        <v>18.102300000000003</v>
      </c>
      <c r="J11" s="61">
        <f t="shared" si="1"/>
        <v>119.79699999999997</v>
      </c>
      <c r="K11" s="272">
        <f t="shared" si="1"/>
        <v>178497530</v>
      </c>
      <c r="L11" s="53">
        <f t="shared" si="1"/>
        <v>0</v>
      </c>
      <c r="M11" s="53">
        <f t="shared" si="1"/>
        <v>74.160000000000011</v>
      </c>
      <c r="N11" s="61">
        <f t="shared" si="1"/>
        <v>7.2707999999999995</v>
      </c>
      <c r="O11" s="53">
        <f t="shared" si="1"/>
        <v>3.7500000000000009</v>
      </c>
      <c r="P11" s="61">
        <f t="shared" si="1"/>
        <v>18.0916</v>
      </c>
      <c r="Q11" s="53">
        <f t="shared" si="1"/>
        <v>0</v>
      </c>
      <c r="R11" s="61">
        <f t="shared" si="1"/>
        <v>18.381700000000002</v>
      </c>
      <c r="S11" s="61">
        <f t="shared" si="1"/>
        <v>121.65410000000001</v>
      </c>
      <c r="T11" s="272">
        <f t="shared" si="1"/>
        <v>181264609</v>
      </c>
      <c r="U11" s="53">
        <f t="shared" si="1"/>
        <v>0</v>
      </c>
      <c r="V11" s="53">
        <f t="shared" si="1"/>
        <v>0.66999999999999993</v>
      </c>
      <c r="W11" s="61">
        <f t="shared" si="1"/>
        <v>0.54779999999999984</v>
      </c>
      <c r="X11" s="53">
        <f t="shared" si="1"/>
        <v>0</v>
      </c>
      <c r="Y11" s="61">
        <f>SUM(Y12:Y26)</f>
        <v>0.35989999999999978</v>
      </c>
      <c r="Z11" s="53">
        <f t="shared" si="1"/>
        <v>0</v>
      </c>
      <c r="AA11" s="53">
        <f t="shared" si="1"/>
        <v>0</v>
      </c>
      <c r="AB11" s="61">
        <f t="shared" si="1"/>
        <v>0.27939999999999965</v>
      </c>
      <c r="AC11" s="61">
        <f t="shared" si="1"/>
        <v>1.8570999999999993</v>
      </c>
      <c r="AD11" s="272">
        <f t="shared" si="1"/>
        <v>2767078.9999999991</v>
      </c>
      <c r="AE11" s="51"/>
    </row>
    <row r="12" spans="1:31" ht="39.75" customHeight="1" x14ac:dyDescent="0.25">
      <c r="A12" s="96">
        <v>1</v>
      </c>
      <c r="B12" s="97" t="s">
        <v>42</v>
      </c>
      <c r="C12" s="96"/>
      <c r="D12" s="98">
        <v>4.9800000000000004</v>
      </c>
      <c r="E12" s="99">
        <f>D12*9/100</f>
        <v>0.4482000000000001</v>
      </c>
      <c r="F12" s="98">
        <v>0.9</v>
      </c>
      <c r="G12" s="99">
        <f>ROUND((D12+E12+F12)*32/100,4)</f>
        <v>2.0249999999999999</v>
      </c>
      <c r="H12" s="98"/>
      <c r="I12" s="99">
        <f>ROUND((D12+E12+F12)*25/100,4)</f>
        <v>1.5821000000000001</v>
      </c>
      <c r="J12" s="99">
        <f>ROUND(SUM(D12:I12),4)</f>
        <v>9.9352999999999998</v>
      </c>
      <c r="K12" s="100">
        <f>ROUND(J12*$B$6,4)</f>
        <v>14803597</v>
      </c>
      <c r="L12" s="98"/>
      <c r="M12" s="98">
        <v>4.9800000000000004</v>
      </c>
      <c r="N12" s="99">
        <f>M12*10/100</f>
        <v>0.49800000000000005</v>
      </c>
      <c r="O12" s="98">
        <v>0.9</v>
      </c>
      <c r="P12" s="99">
        <f>ROUND((M12+N12+O12)*32/100,4)</f>
        <v>2.0409999999999999</v>
      </c>
      <c r="Q12" s="98"/>
      <c r="R12" s="99">
        <f>ROUND((M12+N12+O12)*25/100,4)</f>
        <v>1.5945</v>
      </c>
      <c r="S12" s="99">
        <f>ROUND(SUM(M12:R12),4)</f>
        <v>10.013500000000001</v>
      </c>
      <c r="T12" s="100">
        <f>ROUND(S12*$B$6,0)</f>
        <v>14920115</v>
      </c>
      <c r="U12" s="141" t="s">
        <v>31</v>
      </c>
      <c r="V12" s="98">
        <f t="shared" ref="V12:Y26" si="2">M12-D12</f>
        <v>0</v>
      </c>
      <c r="W12" s="99">
        <f t="shared" si="2"/>
        <v>4.9799999999999955E-2</v>
      </c>
      <c r="X12" s="98">
        <f t="shared" si="2"/>
        <v>0</v>
      </c>
      <c r="Y12" s="99">
        <f t="shared" si="2"/>
        <v>1.6000000000000014E-2</v>
      </c>
      <c r="Z12" s="98"/>
      <c r="AA12" s="98"/>
      <c r="AB12" s="99">
        <f>R12-I12</f>
        <v>1.2399999999999967E-2</v>
      </c>
      <c r="AC12" s="99">
        <f>SUM(V12:AB12)</f>
        <v>7.8199999999999936E-2</v>
      </c>
      <c r="AD12" s="100">
        <f>AC12*$B$6</f>
        <v>116517.9999999999</v>
      </c>
      <c r="AE12" s="84" t="s">
        <v>416</v>
      </c>
    </row>
    <row r="13" spans="1:31" ht="39.75" customHeight="1" x14ac:dyDescent="0.25">
      <c r="A13" s="96">
        <v>2</v>
      </c>
      <c r="B13" s="97" t="s">
        <v>41</v>
      </c>
      <c r="C13" s="96"/>
      <c r="D13" s="98">
        <v>4.9800000000000004</v>
      </c>
      <c r="E13" s="99">
        <f>D13*32/100</f>
        <v>1.5936000000000001</v>
      </c>
      <c r="F13" s="98">
        <v>0.45</v>
      </c>
      <c r="G13" s="99">
        <f>ROUND((D13+E13+F13)*12/100,4)</f>
        <v>0.84279999999999999</v>
      </c>
      <c r="H13" s="98"/>
      <c r="I13" s="99">
        <f t="shared" ref="I13:I26" si="3">ROUND((D13+E13+F13)*25/100,4)</f>
        <v>1.7559</v>
      </c>
      <c r="J13" s="99">
        <f t="shared" ref="J13:J26" si="4">ROUND(SUM(D13:I13),4)</f>
        <v>9.6222999999999992</v>
      </c>
      <c r="K13" s="100">
        <f t="shared" ref="K13:K26" si="5">ROUND(J13*$B$6,4)</f>
        <v>14337227</v>
      </c>
      <c r="L13" s="98"/>
      <c r="M13" s="98">
        <v>4.9800000000000004</v>
      </c>
      <c r="N13" s="99">
        <f>M13*33/100</f>
        <v>1.6434</v>
      </c>
      <c r="O13" s="98">
        <v>0.45</v>
      </c>
      <c r="P13" s="99">
        <f>ROUND((M13+N13+O13)*12/100,4)</f>
        <v>0.8488</v>
      </c>
      <c r="Q13" s="98"/>
      <c r="R13" s="99">
        <f t="shared" ref="R13:R26" si="6">ROUND((M13+N13+O13)*25/100,4)</f>
        <v>1.7684</v>
      </c>
      <c r="S13" s="99">
        <f t="shared" ref="S13:S26" si="7">ROUND(SUM(M13:R13),4)</f>
        <v>9.6905999999999999</v>
      </c>
      <c r="T13" s="100">
        <f t="shared" ref="T13:T26" si="8">ROUND(S13*$B$6,0)</f>
        <v>14438994</v>
      </c>
      <c r="U13" s="141" t="s">
        <v>31</v>
      </c>
      <c r="V13" s="98">
        <f t="shared" si="2"/>
        <v>0</v>
      </c>
      <c r="W13" s="99">
        <f t="shared" si="2"/>
        <v>4.9799999999999844E-2</v>
      </c>
      <c r="X13" s="98"/>
      <c r="Y13" s="99">
        <f t="shared" si="2"/>
        <v>6.0000000000000053E-3</v>
      </c>
      <c r="Z13" s="98"/>
      <c r="AA13" s="98"/>
      <c r="AB13" s="99">
        <f t="shared" ref="AB13:AB26" si="9">R13-I13</f>
        <v>1.2499999999999956E-2</v>
      </c>
      <c r="AC13" s="99">
        <f t="shared" ref="AC13:AC26" si="10">SUM(V13:AB13)</f>
        <v>6.8299999999999805E-2</v>
      </c>
      <c r="AD13" s="100">
        <f t="shared" ref="AD13:AD26" si="11">AC13*$B$6</f>
        <v>101766.99999999971</v>
      </c>
      <c r="AE13" s="84" t="s">
        <v>417</v>
      </c>
    </row>
    <row r="14" spans="1:31" ht="39.75" customHeight="1" x14ac:dyDescent="0.25">
      <c r="A14" s="96">
        <v>3</v>
      </c>
      <c r="B14" s="97" t="s">
        <v>418</v>
      </c>
      <c r="C14" s="96"/>
      <c r="D14" s="98">
        <v>4.9800000000000004</v>
      </c>
      <c r="E14" s="99">
        <f>D14*15/100</f>
        <v>0.747</v>
      </c>
      <c r="F14" s="98"/>
      <c r="G14" s="99"/>
      <c r="H14" s="98"/>
      <c r="I14" s="99"/>
      <c r="J14" s="99">
        <f t="shared" si="4"/>
        <v>5.7270000000000003</v>
      </c>
      <c r="K14" s="100">
        <f t="shared" si="5"/>
        <v>8533230</v>
      </c>
      <c r="L14" s="98"/>
      <c r="M14" s="98">
        <v>4.9800000000000004</v>
      </c>
      <c r="N14" s="99">
        <f>M14*16/100</f>
        <v>0.79680000000000006</v>
      </c>
      <c r="O14" s="98"/>
      <c r="P14" s="99"/>
      <c r="Q14" s="98"/>
      <c r="R14" s="99"/>
      <c r="S14" s="99">
        <f t="shared" si="7"/>
        <v>5.7767999999999997</v>
      </c>
      <c r="T14" s="100">
        <f t="shared" si="8"/>
        <v>8607432</v>
      </c>
      <c r="U14" s="141" t="s">
        <v>80</v>
      </c>
      <c r="V14" s="98">
        <f t="shared" si="2"/>
        <v>0</v>
      </c>
      <c r="W14" s="99">
        <f t="shared" si="2"/>
        <v>4.9800000000000066E-2</v>
      </c>
      <c r="X14" s="98"/>
      <c r="Y14" s="99">
        <f t="shared" si="2"/>
        <v>0</v>
      </c>
      <c r="Z14" s="98"/>
      <c r="AA14" s="98"/>
      <c r="AB14" s="99">
        <f t="shared" si="9"/>
        <v>0</v>
      </c>
      <c r="AC14" s="99">
        <f t="shared" si="10"/>
        <v>4.9800000000000066E-2</v>
      </c>
      <c r="AD14" s="100">
        <f t="shared" si="11"/>
        <v>74202.000000000102</v>
      </c>
      <c r="AE14" s="84" t="s">
        <v>419</v>
      </c>
    </row>
    <row r="15" spans="1:31" ht="39.75" customHeight="1" x14ac:dyDescent="0.25">
      <c r="A15" s="96">
        <v>4</v>
      </c>
      <c r="B15" s="97" t="s">
        <v>420</v>
      </c>
      <c r="C15" s="96"/>
      <c r="D15" s="98">
        <v>4.9800000000000004</v>
      </c>
      <c r="E15" s="99">
        <f>D15*10/100</f>
        <v>0.49800000000000005</v>
      </c>
      <c r="F15" s="98">
        <v>0.35</v>
      </c>
      <c r="G15" s="99"/>
      <c r="H15" s="98"/>
      <c r="I15" s="99"/>
      <c r="J15" s="99">
        <f t="shared" si="4"/>
        <v>5.8280000000000003</v>
      </c>
      <c r="K15" s="100">
        <f t="shared" si="5"/>
        <v>8683720</v>
      </c>
      <c r="L15" s="98"/>
      <c r="M15" s="98">
        <v>4.9800000000000004</v>
      </c>
      <c r="N15" s="99">
        <f>M15*11/100</f>
        <v>0.54780000000000006</v>
      </c>
      <c r="O15" s="98">
        <v>0.35</v>
      </c>
      <c r="P15" s="99"/>
      <c r="Q15" s="98"/>
      <c r="R15" s="99"/>
      <c r="S15" s="99">
        <f t="shared" si="7"/>
        <v>5.8777999999999997</v>
      </c>
      <c r="T15" s="100">
        <f t="shared" si="8"/>
        <v>8757922</v>
      </c>
      <c r="U15" s="141" t="s">
        <v>31</v>
      </c>
      <c r="V15" s="98">
        <f t="shared" si="2"/>
        <v>0</v>
      </c>
      <c r="W15" s="99">
        <f t="shared" si="2"/>
        <v>4.9800000000000011E-2</v>
      </c>
      <c r="X15" s="98"/>
      <c r="Y15" s="99">
        <f t="shared" si="2"/>
        <v>0</v>
      </c>
      <c r="Z15" s="98"/>
      <c r="AA15" s="98"/>
      <c r="AB15" s="99">
        <f t="shared" si="9"/>
        <v>0</v>
      </c>
      <c r="AC15" s="99">
        <f t="shared" si="10"/>
        <v>4.9800000000000011E-2</v>
      </c>
      <c r="AD15" s="100">
        <f t="shared" si="11"/>
        <v>74202.000000000015</v>
      </c>
      <c r="AE15" s="84" t="s">
        <v>421</v>
      </c>
    </row>
    <row r="16" spans="1:31" ht="39.75" customHeight="1" x14ac:dyDescent="0.25">
      <c r="A16" s="96">
        <v>5</v>
      </c>
      <c r="B16" s="97" t="s">
        <v>365</v>
      </c>
      <c r="C16" s="96"/>
      <c r="D16" s="98">
        <v>4.9800000000000004</v>
      </c>
      <c r="E16" s="99">
        <f>D16*13/100</f>
        <v>0.64740000000000009</v>
      </c>
      <c r="F16" s="98"/>
      <c r="G16" s="99">
        <f>ROUND((D16+E16+F16)*30/100,4)</f>
        <v>1.6881999999999999</v>
      </c>
      <c r="H16" s="98"/>
      <c r="I16" s="99">
        <f t="shared" si="3"/>
        <v>1.4069</v>
      </c>
      <c r="J16" s="99">
        <f t="shared" si="4"/>
        <v>8.7225000000000001</v>
      </c>
      <c r="K16" s="100">
        <f t="shared" si="5"/>
        <v>12996525</v>
      </c>
      <c r="L16" s="98"/>
      <c r="M16" s="98">
        <v>4.9800000000000004</v>
      </c>
      <c r="N16" s="99">
        <f>M16*14/100</f>
        <v>0.69720000000000004</v>
      </c>
      <c r="O16" s="98"/>
      <c r="P16" s="99">
        <f>ROUND((M16+N16+O16)*30/100,4)</f>
        <v>1.7032</v>
      </c>
      <c r="Q16" s="98"/>
      <c r="R16" s="99">
        <f t="shared" si="6"/>
        <v>1.4193</v>
      </c>
      <c r="S16" s="99">
        <f t="shared" si="7"/>
        <v>8.7996999999999996</v>
      </c>
      <c r="T16" s="100">
        <f t="shared" si="8"/>
        <v>13111553</v>
      </c>
      <c r="U16" s="141" t="s">
        <v>31</v>
      </c>
      <c r="V16" s="98">
        <f t="shared" si="2"/>
        <v>0</v>
      </c>
      <c r="W16" s="99">
        <f t="shared" si="2"/>
        <v>4.9799999999999955E-2</v>
      </c>
      <c r="X16" s="98"/>
      <c r="Y16" s="99">
        <f t="shared" si="2"/>
        <v>1.5000000000000124E-2</v>
      </c>
      <c r="Z16" s="98"/>
      <c r="AA16" s="98"/>
      <c r="AB16" s="99">
        <f t="shared" si="9"/>
        <v>1.2399999999999967E-2</v>
      </c>
      <c r="AC16" s="99">
        <f t="shared" si="10"/>
        <v>7.7200000000000046E-2</v>
      </c>
      <c r="AD16" s="100">
        <f t="shared" si="11"/>
        <v>115028.00000000007</v>
      </c>
      <c r="AE16" s="84" t="s">
        <v>422</v>
      </c>
    </row>
    <row r="17" spans="1:31" ht="39.75" customHeight="1" x14ac:dyDescent="0.25">
      <c r="A17" s="96">
        <v>6</v>
      </c>
      <c r="B17" s="97" t="s">
        <v>367</v>
      </c>
      <c r="C17" s="96"/>
      <c r="D17" s="98">
        <v>4.9800000000000004</v>
      </c>
      <c r="E17" s="99">
        <f>D17*10/100</f>
        <v>0.49800000000000005</v>
      </c>
      <c r="F17" s="98"/>
      <c r="G17" s="99">
        <f>ROUND((D17+E17+F17)*30/100,4)</f>
        <v>1.6434</v>
      </c>
      <c r="H17" s="98"/>
      <c r="I17" s="99">
        <f t="shared" si="3"/>
        <v>1.3694999999999999</v>
      </c>
      <c r="J17" s="99">
        <f t="shared" si="4"/>
        <v>8.4908999999999999</v>
      </c>
      <c r="K17" s="100">
        <f t="shared" si="5"/>
        <v>12651441</v>
      </c>
      <c r="L17" s="98"/>
      <c r="M17" s="98">
        <v>4.9800000000000004</v>
      </c>
      <c r="N17" s="99">
        <f>M17*11/100</f>
        <v>0.54780000000000006</v>
      </c>
      <c r="O17" s="98"/>
      <c r="P17" s="99">
        <f>ROUND((M17+N17+O17)*30/100,4)</f>
        <v>1.6583000000000001</v>
      </c>
      <c r="Q17" s="98"/>
      <c r="R17" s="99">
        <f t="shared" si="6"/>
        <v>1.3819999999999999</v>
      </c>
      <c r="S17" s="99">
        <f t="shared" si="7"/>
        <v>8.5680999999999994</v>
      </c>
      <c r="T17" s="100">
        <f t="shared" si="8"/>
        <v>12766469</v>
      </c>
      <c r="U17" s="141" t="s">
        <v>31</v>
      </c>
      <c r="V17" s="98">
        <f t="shared" si="2"/>
        <v>0</v>
      </c>
      <c r="W17" s="99">
        <f t="shared" si="2"/>
        <v>4.9800000000000011E-2</v>
      </c>
      <c r="X17" s="98"/>
      <c r="Y17" s="99">
        <f t="shared" si="2"/>
        <v>1.4900000000000135E-2</v>
      </c>
      <c r="Z17" s="98"/>
      <c r="AA17" s="98"/>
      <c r="AB17" s="99">
        <f t="shared" si="9"/>
        <v>1.2499999999999956E-2</v>
      </c>
      <c r="AC17" s="99">
        <f t="shared" si="10"/>
        <v>7.7200000000000102E-2</v>
      </c>
      <c r="AD17" s="100">
        <f t="shared" si="11"/>
        <v>115028.00000000015</v>
      </c>
      <c r="AE17" s="84" t="s">
        <v>421</v>
      </c>
    </row>
    <row r="18" spans="1:31" ht="39.75" customHeight="1" x14ac:dyDescent="0.25">
      <c r="A18" s="96">
        <v>7</v>
      </c>
      <c r="B18" s="97" t="s">
        <v>373</v>
      </c>
      <c r="C18" s="96"/>
      <c r="D18" s="98">
        <v>4.9800000000000004</v>
      </c>
      <c r="E18" s="99">
        <f>D18*11/100</f>
        <v>0.54780000000000006</v>
      </c>
      <c r="F18" s="98">
        <v>0.35</v>
      </c>
      <c r="G18" s="99">
        <f>ROUND((D18+E18+F18)*30/100,4)</f>
        <v>1.7633000000000001</v>
      </c>
      <c r="H18" s="98"/>
      <c r="I18" s="99">
        <f t="shared" si="3"/>
        <v>1.4695</v>
      </c>
      <c r="J18" s="99">
        <f t="shared" si="4"/>
        <v>9.1105999999999998</v>
      </c>
      <c r="K18" s="100">
        <f t="shared" si="5"/>
        <v>13574794</v>
      </c>
      <c r="L18" s="98"/>
      <c r="M18" s="98">
        <v>4.9800000000000004</v>
      </c>
      <c r="N18" s="99">
        <f>M18*12/100</f>
        <v>0.59760000000000002</v>
      </c>
      <c r="O18" s="98">
        <v>0.35</v>
      </c>
      <c r="P18" s="99">
        <f>ROUND((M18+N18+O18)*30/100,4)</f>
        <v>1.7783</v>
      </c>
      <c r="Q18" s="98"/>
      <c r="R18" s="99">
        <f t="shared" si="6"/>
        <v>1.4819</v>
      </c>
      <c r="S18" s="99">
        <f t="shared" si="7"/>
        <v>9.1877999999999993</v>
      </c>
      <c r="T18" s="100">
        <f t="shared" si="8"/>
        <v>13689822</v>
      </c>
      <c r="U18" s="141" t="s">
        <v>31</v>
      </c>
      <c r="V18" s="98">
        <f t="shared" si="2"/>
        <v>0</v>
      </c>
      <c r="W18" s="99">
        <f t="shared" si="2"/>
        <v>4.9799999999999955E-2</v>
      </c>
      <c r="X18" s="98"/>
      <c r="Y18" s="99">
        <f t="shared" si="2"/>
        <v>1.4999999999999902E-2</v>
      </c>
      <c r="Z18" s="98"/>
      <c r="AA18" s="98"/>
      <c r="AB18" s="99">
        <f t="shared" si="9"/>
        <v>1.2399999999999967E-2</v>
      </c>
      <c r="AC18" s="99">
        <f t="shared" si="10"/>
        <v>7.7199999999999824E-2</v>
      </c>
      <c r="AD18" s="100">
        <f t="shared" si="11"/>
        <v>115027.99999999974</v>
      </c>
      <c r="AE18" s="84" t="s">
        <v>423</v>
      </c>
    </row>
    <row r="19" spans="1:31" ht="39.75" customHeight="1" x14ac:dyDescent="0.25">
      <c r="A19" s="96">
        <v>8</v>
      </c>
      <c r="B19" s="97" t="s">
        <v>247</v>
      </c>
      <c r="C19" s="96"/>
      <c r="D19" s="98">
        <v>4.9800000000000004</v>
      </c>
      <c r="E19" s="99">
        <f>D19*11/100</f>
        <v>0.54780000000000006</v>
      </c>
      <c r="F19" s="98">
        <v>0.45</v>
      </c>
      <c r="G19" s="99">
        <f>ROUND((D19+E19+F19)*17/100,4)</f>
        <v>1.0162</v>
      </c>
      <c r="H19" s="98"/>
      <c r="I19" s="99">
        <f t="shared" si="3"/>
        <v>1.4944999999999999</v>
      </c>
      <c r="J19" s="99">
        <f t="shared" si="4"/>
        <v>8.4885000000000002</v>
      </c>
      <c r="K19" s="100">
        <f t="shared" si="5"/>
        <v>12647865</v>
      </c>
      <c r="L19" s="98"/>
      <c r="M19" s="98">
        <v>4.9800000000000004</v>
      </c>
      <c r="N19" s="99">
        <f>M19*12/100</f>
        <v>0.59760000000000002</v>
      </c>
      <c r="O19" s="98">
        <v>0.45</v>
      </c>
      <c r="P19" s="99">
        <f>ROUND((M19+N19+O19)*17/100,4)</f>
        <v>1.0246999999999999</v>
      </c>
      <c r="Q19" s="98"/>
      <c r="R19" s="99">
        <f t="shared" si="6"/>
        <v>1.5068999999999999</v>
      </c>
      <c r="S19" s="99">
        <f t="shared" si="7"/>
        <v>8.5592000000000006</v>
      </c>
      <c r="T19" s="100">
        <f t="shared" si="8"/>
        <v>12753208</v>
      </c>
      <c r="U19" s="141" t="s">
        <v>31</v>
      </c>
      <c r="V19" s="98">
        <f t="shared" si="2"/>
        <v>0</v>
      </c>
      <c r="W19" s="99">
        <f t="shared" si="2"/>
        <v>4.9799999999999955E-2</v>
      </c>
      <c r="X19" s="98"/>
      <c r="Y19" s="99">
        <f t="shared" si="2"/>
        <v>8.499999999999952E-3</v>
      </c>
      <c r="Z19" s="98"/>
      <c r="AA19" s="98"/>
      <c r="AB19" s="99">
        <f t="shared" si="9"/>
        <v>1.2399999999999967E-2</v>
      </c>
      <c r="AC19" s="99">
        <f t="shared" si="10"/>
        <v>7.0699999999999874E-2</v>
      </c>
      <c r="AD19" s="100">
        <f t="shared" si="11"/>
        <v>105342.99999999981</v>
      </c>
      <c r="AE19" s="84" t="s">
        <v>423</v>
      </c>
    </row>
    <row r="20" spans="1:31" ht="39.75" customHeight="1" x14ac:dyDescent="0.25">
      <c r="A20" s="96">
        <v>9</v>
      </c>
      <c r="B20" s="97" t="s">
        <v>424</v>
      </c>
      <c r="C20" s="96"/>
      <c r="D20" s="98">
        <v>5.42</v>
      </c>
      <c r="E20" s="99"/>
      <c r="F20" s="98">
        <v>0.45</v>
      </c>
      <c r="G20" s="99">
        <f>ROUND((D20+E20+F20)*26/100,4)</f>
        <v>1.5262</v>
      </c>
      <c r="H20" s="98"/>
      <c r="I20" s="99">
        <f t="shared" si="3"/>
        <v>1.4675</v>
      </c>
      <c r="J20" s="99">
        <f t="shared" si="4"/>
        <v>8.8636999999999997</v>
      </c>
      <c r="K20" s="100">
        <f t="shared" si="5"/>
        <v>13206913</v>
      </c>
      <c r="L20" s="98"/>
      <c r="M20" s="98">
        <v>5.76</v>
      </c>
      <c r="N20" s="99"/>
      <c r="O20" s="98">
        <v>0.45</v>
      </c>
      <c r="P20" s="99">
        <f>ROUND((M20+N20+O20)*26/100,4)</f>
        <v>1.6146</v>
      </c>
      <c r="Q20" s="98"/>
      <c r="R20" s="99">
        <f t="shared" si="6"/>
        <v>1.5525</v>
      </c>
      <c r="S20" s="99">
        <f t="shared" si="7"/>
        <v>9.3771000000000004</v>
      </c>
      <c r="T20" s="100">
        <f t="shared" si="8"/>
        <v>13971879</v>
      </c>
      <c r="U20" s="141" t="s">
        <v>31</v>
      </c>
      <c r="V20" s="98">
        <f t="shared" si="2"/>
        <v>0.33999999999999986</v>
      </c>
      <c r="W20" s="99">
        <f t="shared" si="2"/>
        <v>0</v>
      </c>
      <c r="X20" s="98"/>
      <c r="Y20" s="99">
        <f t="shared" si="2"/>
        <v>8.8400000000000034E-2</v>
      </c>
      <c r="Z20" s="98"/>
      <c r="AA20" s="98"/>
      <c r="AB20" s="99">
        <f t="shared" si="9"/>
        <v>8.4999999999999964E-2</v>
      </c>
      <c r="AC20" s="99">
        <f t="shared" si="10"/>
        <v>0.51339999999999986</v>
      </c>
      <c r="AD20" s="100">
        <f t="shared" si="11"/>
        <v>764965.99999999977</v>
      </c>
      <c r="AE20" s="84" t="s">
        <v>425</v>
      </c>
    </row>
    <row r="21" spans="1:31" ht="39.75" customHeight="1" x14ac:dyDescent="0.25">
      <c r="A21" s="96">
        <v>10</v>
      </c>
      <c r="B21" s="97" t="s">
        <v>403</v>
      </c>
      <c r="C21" s="96"/>
      <c r="D21" s="98">
        <v>4.9800000000000004</v>
      </c>
      <c r="E21" s="99">
        <f>D21*7/100</f>
        <v>0.34860000000000002</v>
      </c>
      <c r="F21" s="98"/>
      <c r="G21" s="99">
        <f>ROUND((D21+E21+F21)*30/100,4)</f>
        <v>1.5986</v>
      </c>
      <c r="H21" s="98"/>
      <c r="I21" s="99">
        <f t="shared" si="3"/>
        <v>1.3322000000000001</v>
      </c>
      <c r="J21" s="99">
        <f t="shared" si="4"/>
        <v>8.2593999999999994</v>
      </c>
      <c r="K21" s="100">
        <f t="shared" si="5"/>
        <v>12306506</v>
      </c>
      <c r="L21" s="98"/>
      <c r="M21" s="98">
        <v>4.9800000000000004</v>
      </c>
      <c r="N21" s="99">
        <f>M21*8/100</f>
        <v>0.39840000000000003</v>
      </c>
      <c r="O21" s="98"/>
      <c r="P21" s="99">
        <f>ROUND((M21+N21+O21)*30/100,4)</f>
        <v>1.6134999999999999</v>
      </c>
      <c r="Q21" s="98"/>
      <c r="R21" s="99">
        <f t="shared" si="6"/>
        <v>1.3446</v>
      </c>
      <c r="S21" s="99">
        <f t="shared" si="7"/>
        <v>8.3364999999999991</v>
      </c>
      <c r="T21" s="100">
        <f t="shared" si="8"/>
        <v>12421385</v>
      </c>
      <c r="U21" s="141" t="s">
        <v>31</v>
      </c>
      <c r="V21" s="98">
        <f t="shared" si="2"/>
        <v>0</v>
      </c>
      <c r="W21" s="99">
        <f t="shared" si="2"/>
        <v>4.9800000000000011E-2</v>
      </c>
      <c r="X21" s="98"/>
      <c r="Y21" s="99">
        <f t="shared" si="2"/>
        <v>1.4899999999999913E-2</v>
      </c>
      <c r="Z21" s="98"/>
      <c r="AA21" s="98"/>
      <c r="AB21" s="99">
        <f t="shared" si="9"/>
        <v>1.2399999999999967E-2</v>
      </c>
      <c r="AC21" s="99">
        <f t="shared" si="10"/>
        <v>7.7099999999999891E-2</v>
      </c>
      <c r="AD21" s="100">
        <f t="shared" si="11"/>
        <v>114878.99999999984</v>
      </c>
      <c r="AE21" s="84" t="s">
        <v>426</v>
      </c>
    </row>
    <row r="22" spans="1:31" ht="39.75" customHeight="1" x14ac:dyDescent="0.25">
      <c r="A22" s="96">
        <v>11</v>
      </c>
      <c r="B22" s="97" t="s">
        <v>360</v>
      </c>
      <c r="C22" s="96"/>
      <c r="D22" s="98">
        <v>4.9800000000000004</v>
      </c>
      <c r="E22" s="99">
        <f>D22*12/100</f>
        <v>0.59760000000000002</v>
      </c>
      <c r="F22" s="98"/>
      <c r="G22" s="99">
        <f>ROUND((D22+E22+F22)*30/100,4)</f>
        <v>1.6733</v>
      </c>
      <c r="H22" s="98"/>
      <c r="I22" s="99">
        <f t="shared" si="3"/>
        <v>1.3944000000000001</v>
      </c>
      <c r="J22" s="99">
        <f t="shared" si="4"/>
        <v>8.6453000000000007</v>
      </c>
      <c r="K22" s="100">
        <f t="shared" si="5"/>
        <v>12881497</v>
      </c>
      <c r="L22" s="98"/>
      <c r="M22" s="98">
        <v>4.9800000000000004</v>
      </c>
      <c r="N22" s="99">
        <f>M22*13/100</f>
        <v>0.64740000000000009</v>
      </c>
      <c r="O22" s="98"/>
      <c r="P22" s="99">
        <f>ROUND((M22+N22+O22)*30/100,4)</f>
        <v>1.6881999999999999</v>
      </c>
      <c r="Q22" s="98"/>
      <c r="R22" s="99">
        <f t="shared" si="6"/>
        <v>1.4069</v>
      </c>
      <c r="S22" s="99">
        <f t="shared" si="7"/>
        <v>8.7225000000000001</v>
      </c>
      <c r="T22" s="100">
        <f t="shared" si="8"/>
        <v>12996525</v>
      </c>
      <c r="U22" s="141" t="s">
        <v>31</v>
      </c>
      <c r="V22" s="98">
        <f t="shared" si="2"/>
        <v>0</v>
      </c>
      <c r="W22" s="99">
        <f t="shared" si="2"/>
        <v>4.9800000000000066E-2</v>
      </c>
      <c r="X22" s="98"/>
      <c r="Y22" s="99">
        <f t="shared" si="2"/>
        <v>1.4899999999999913E-2</v>
      </c>
      <c r="Z22" s="98"/>
      <c r="AA22" s="98"/>
      <c r="AB22" s="99">
        <f t="shared" si="9"/>
        <v>1.2499999999999956E-2</v>
      </c>
      <c r="AC22" s="99">
        <f t="shared" si="10"/>
        <v>7.7199999999999935E-2</v>
      </c>
      <c r="AD22" s="100">
        <f t="shared" si="11"/>
        <v>115027.9999999999</v>
      </c>
      <c r="AE22" s="84" t="s">
        <v>427</v>
      </c>
    </row>
    <row r="23" spans="1:31" ht="39.75" customHeight="1" x14ac:dyDescent="0.25">
      <c r="A23" s="96">
        <v>12</v>
      </c>
      <c r="B23" s="97" t="s">
        <v>360</v>
      </c>
      <c r="C23" s="96"/>
      <c r="D23" s="98">
        <v>4.6500000000000004</v>
      </c>
      <c r="E23" s="99"/>
      <c r="F23" s="98"/>
      <c r="G23" s="99">
        <f>ROUND((D23+E23+F23)*20/100,4)</f>
        <v>0.93</v>
      </c>
      <c r="H23" s="98"/>
      <c r="I23" s="99">
        <f t="shared" si="3"/>
        <v>1.1625000000000001</v>
      </c>
      <c r="J23" s="99">
        <f t="shared" si="4"/>
        <v>6.7424999999999997</v>
      </c>
      <c r="K23" s="100">
        <f t="shared" si="5"/>
        <v>10046325</v>
      </c>
      <c r="L23" s="98"/>
      <c r="M23" s="98">
        <v>4.9800000000000004</v>
      </c>
      <c r="N23" s="99"/>
      <c r="O23" s="98"/>
      <c r="P23" s="99">
        <f>ROUND((M23+N23+O23)*20/100,4)</f>
        <v>0.996</v>
      </c>
      <c r="Q23" s="98"/>
      <c r="R23" s="99">
        <f t="shared" si="6"/>
        <v>1.2450000000000001</v>
      </c>
      <c r="S23" s="99">
        <f t="shared" si="7"/>
        <v>7.2210000000000001</v>
      </c>
      <c r="T23" s="100">
        <f t="shared" si="8"/>
        <v>10759290</v>
      </c>
      <c r="U23" s="141" t="s">
        <v>31</v>
      </c>
      <c r="V23" s="98">
        <f t="shared" si="2"/>
        <v>0.33000000000000007</v>
      </c>
      <c r="W23" s="99"/>
      <c r="X23" s="98"/>
      <c r="Y23" s="99">
        <f t="shared" si="2"/>
        <v>6.5999999999999948E-2</v>
      </c>
      <c r="Z23" s="98"/>
      <c r="AA23" s="98"/>
      <c r="AB23" s="99">
        <f t="shared" si="9"/>
        <v>8.2500000000000018E-2</v>
      </c>
      <c r="AC23" s="99">
        <f t="shared" si="10"/>
        <v>0.47850000000000004</v>
      </c>
      <c r="AD23" s="100">
        <f t="shared" si="11"/>
        <v>712965</v>
      </c>
      <c r="AE23" s="84" t="s">
        <v>425</v>
      </c>
    </row>
    <row r="24" spans="1:31" ht="39.75" customHeight="1" x14ac:dyDescent="0.25">
      <c r="A24" s="96">
        <v>13</v>
      </c>
      <c r="B24" s="290" t="s">
        <v>430</v>
      </c>
      <c r="C24" s="96"/>
      <c r="D24" s="98">
        <v>4.9800000000000004</v>
      </c>
      <c r="E24" s="99">
        <f>D24*5/100</f>
        <v>0.24900000000000003</v>
      </c>
      <c r="F24" s="98">
        <v>0.45</v>
      </c>
      <c r="G24" s="99">
        <f>ROUND((D24+E24+F24)*21/100,4)</f>
        <v>1.1926000000000001</v>
      </c>
      <c r="H24" s="98"/>
      <c r="I24" s="99">
        <f t="shared" si="3"/>
        <v>1.4198</v>
      </c>
      <c r="J24" s="99">
        <f t="shared" si="4"/>
        <v>8.2913999999999994</v>
      </c>
      <c r="K24" s="100">
        <f t="shared" si="5"/>
        <v>12354186</v>
      </c>
      <c r="L24" s="98"/>
      <c r="M24" s="98">
        <v>4.9800000000000004</v>
      </c>
      <c r="N24" s="99">
        <f>M24*6/100</f>
        <v>0.29880000000000001</v>
      </c>
      <c r="O24" s="98">
        <v>0.45</v>
      </c>
      <c r="P24" s="99">
        <f>ROUND((M24+N24+O24)*21/100,4)</f>
        <v>1.2030000000000001</v>
      </c>
      <c r="Q24" s="98"/>
      <c r="R24" s="99">
        <f t="shared" si="6"/>
        <v>1.4321999999999999</v>
      </c>
      <c r="S24" s="99">
        <f t="shared" si="7"/>
        <v>8.3640000000000008</v>
      </c>
      <c r="T24" s="100">
        <f t="shared" si="8"/>
        <v>12462360</v>
      </c>
      <c r="U24" s="141" t="s">
        <v>31</v>
      </c>
      <c r="V24" s="98">
        <f t="shared" si="2"/>
        <v>0</v>
      </c>
      <c r="W24" s="99">
        <f>N24-E24</f>
        <v>4.9799999999999983E-2</v>
      </c>
      <c r="X24" s="98"/>
      <c r="Y24" s="99">
        <f t="shared" si="2"/>
        <v>1.0399999999999965E-2</v>
      </c>
      <c r="Z24" s="98"/>
      <c r="AA24" s="98"/>
      <c r="AB24" s="99">
        <f t="shared" si="9"/>
        <v>1.2399999999999967E-2</v>
      </c>
      <c r="AC24" s="99">
        <f t="shared" si="10"/>
        <v>7.2599999999999915E-2</v>
      </c>
      <c r="AD24" s="100">
        <f t="shared" si="11"/>
        <v>108173.99999999987</v>
      </c>
      <c r="AE24" s="84" t="s">
        <v>431</v>
      </c>
    </row>
    <row r="25" spans="1:31" ht="39.75" customHeight="1" x14ac:dyDescent="0.25">
      <c r="A25" s="96">
        <v>14</v>
      </c>
      <c r="B25" s="97" t="s">
        <v>428</v>
      </c>
      <c r="C25" s="96"/>
      <c r="D25" s="98">
        <v>3.99</v>
      </c>
      <c r="E25" s="99"/>
      <c r="F25" s="98">
        <v>0.35</v>
      </c>
      <c r="G25" s="99">
        <f>ROUND((D25+E25+F25)*24/100,4)</f>
        <v>1.0416000000000001</v>
      </c>
      <c r="H25" s="98"/>
      <c r="I25" s="99">
        <f t="shared" si="3"/>
        <v>1.085</v>
      </c>
      <c r="J25" s="99">
        <f t="shared" si="4"/>
        <v>6.4665999999999997</v>
      </c>
      <c r="K25" s="100">
        <f t="shared" si="5"/>
        <v>9635234</v>
      </c>
      <c r="L25" s="98"/>
      <c r="M25" s="98">
        <v>3.99</v>
      </c>
      <c r="N25" s="99"/>
      <c r="O25" s="98">
        <v>0.35</v>
      </c>
      <c r="P25" s="99">
        <f>ROUND((M25+N25+O25)*25/100,4)</f>
        <v>1.085</v>
      </c>
      <c r="Q25" s="98"/>
      <c r="R25" s="99">
        <f t="shared" si="6"/>
        <v>1.085</v>
      </c>
      <c r="S25" s="99">
        <f t="shared" si="7"/>
        <v>6.51</v>
      </c>
      <c r="T25" s="100">
        <f t="shared" si="8"/>
        <v>9699900</v>
      </c>
      <c r="U25" s="141" t="s">
        <v>31</v>
      </c>
      <c r="V25" s="98">
        <f t="shared" si="2"/>
        <v>0</v>
      </c>
      <c r="W25" s="99"/>
      <c r="X25" s="98"/>
      <c r="Y25" s="99">
        <f t="shared" si="2"/>
        <v>4.3399999999999883E-2</v>
      </c>
      <c r="Z25" s="98"/>
      <c r="AA25" s="98"/>
      <c r="AB25" s="99">
        <f t="shared" si="9"/>
        <v>0</v>
      </c>
      <c r="AC25" s="99">
        <f t="shared" si="10"/>
        <v>4.3399999999999883E-2</v>
      </c>
      <c r="AD25" s="100">
        <f t="shared" si="11"/>
        <v>64665.999999999825</v>
      </c>
      <c r="AE25" s="84" t="s">
        <v>429</v>
      </c>
    </row>
    <row r="26" spans="1:31" ht="39.75" customHeight="1" x14ac:dyDescent="0.25">
      <c r="A26" s="96">
        <v>15</v>
      </c>
      <c r="B26" s="97" t="s">
        <v>432</v>
      </c>
      <c r="C26" s="96"/>
      <c r="D26" s="98">
        <v>4.6500000000000004</v>
      </c>
      <c r="E26" s="99"/>
      <c r="F26" s="98"/>
      <c r="G26" s="99">
        <f>ROUND((D26+E26+F26)*17/100,4)</f>
        <v>0.79049999999999998</v>
      </c>
      <c r="H26" s="98"/>
      <c r="I26" s="99">
        <f t="shared" si="3"/>
        <v>1.1625000000000001</v>
      </c>
      <c r="J26" s="99">
        <f t="shared" si="4"/>
        <v>6.6029999999999998</v>
      </c>
      <c r="K26" s="100">
        <f t="shared" si="5"/>
        <v>9838470</v>
      </c>
      <c r="L26" s="98"/>
      <c r="M26" s="98">
        <v>4.6500000000000004</v>
      </c>
      <c r="N26" s="99"/>
      <c r="O26" s="98"/>
      <c r="P26" s="99">
        <f>ROUND((M26+N26+O26)*18/100,4)</f>
        <v>0.83699999999999997</v>
      </c>
      <c r="Q26" s="98"/>
      <c r="R26" s="99">
        <f t="shared" si="6"/>
        <v>1.1625000000000001</v>
      </c>
      <c r="S26" s="99">
        <f t="shared" si="7"/>
        <v>6.6494999999999997</v>
      </c>
      <c r="T26" s="100">
        <f t="shared" si="8"/>
        <v>9907755</v>
      </c>
      <c r="U26" s="141" t="s">
        <v>31</v>
      </c>
      <c r="V26" s="98">
        <f t="shared" si="2"/>
        <v>0</v>
      </c>
      <c r="W26" s="99"/>
      <c r="X26" s="98"/>
      <c r="Y26" s="99">
        <f t="shared" si="2"/>
        <v>4.6499999999999986E-2</v>
      </c>
      <c r="Z26" s="98"/>
      <c r="AA26" s="98"/>
      <c r="AB26" s="99">
        <f t="shared" si="9"/>
        <v>0</v>
      </c>
      <c r="AC26" s="99">
        <f t="shared" si="10"/>
        <v>4.6499999999999986E-2</v>
      </c>
      <c r="AD26" s="100">
        <f t="shared" si="11"/>
        <v>69284.999999999985</v>
      </c>
      <c r="AE26" s="84" t="s">
        <v>433</v>
      </c>
    </row>
    <row r="27" spans="1:31" ht="59.25" customHeight="1" x14ac:dyDescent="0.25">
      <c r="A27" s="102"/>
      <c r="B27" s="92" t="s">
        <v>33</v>
      </c>
      <c r="C27" s="69"/>
      <c r="D27" s="106">
        <f>SUM(D28:D55)</f>
        <v>65.070000000000007</v>
      </c>
      <c r="E27" s="106">
        <f>SUM(E28:E55)</f>
        <v>0</v>
      </c>
      <c r="F27" s="106">
        <f>SUM(F28:F55)</f>
        <v>1.45</v>
      </c>
      <c r="G27" s="71">
        <f>SUM(G28:G55)</f>
        <v>2.0422000000000002</v>
      </c>
      <c r="H27" s="106">
        <f>SUM(H28:H55)</f>
        <v>0</v>
      </c>
      <c r="I27" s="71">
        <f>SUM(I28:I55)</f>
        <v>14.612500000000002</v>
      </c>
      <c r="J27" s="71">
        <f>SUM(J28:J55)</f>
        <v>83.174700000000016</v>
      </c>
      <c r="K27" s="70">
        <f>SUM(K28:K55)</f>
        <v>123930303</v>
      </c>
      <c r="L27" s="106">
        <f>SUM(L28:L55)</f>
        <v>0</v>
      </c>
      <c r="M27" s="106">
        <f>SUM(M28:M55)</f>
        <v>80.893999999999991</v>
      </c>
      <c r="N27" s="106">
        <f>SUM(N28:N55)</f>
        <v>0</v>
      </c>
      <c r="O27" s="106">
        <f>SUM(O28:O55)</f>
        <v>1.45</v>
      </c>
      <c r="P27" s="71">
        <f>SUM(P28:P55)</f>
        <v>4.6507000000000005</v>
      </c>
      <c r="Q27" s="106">
        <f>SUM(Q28:Q55)</f>
        <v>0</v>
      </c>
      <c r="R27" s="71">
        <f>SUM(R28:R55)</f>
        <v>17.861499999999999</v>
      </c>
      <c r="S27" s="71">
        <f>SUM(S28:S55)</f>
        <v>104.85620000000002</v>
      </c>
      <c r="T27" s="70">
        <f>SUM(T28:T55)</f>
        <v>156235738</v>
      </c>
      <c r="U27" s="106">
        <f>SUM(U28:U55)</f>
        <v>0</v>
      </c>
      <c r="V27" s="106">
        <f>SUM(V28:V55)</f>
        <v>15.824000000000002</v>
      </c>
      <c r="W27" s="106">
        <f>SUM(W28:W55)</f>
        <v>0</v>
      </c>
      <c r="X27" s="106">
        <f>SUM(X28:X55)</f>
        <v>0</v>
      </c>
      <c r="Y27" s="71">
        <f>SUM(Y28:Y55)</f>
        <v>2.6084999999999998</v>
      </c>
      <c r="Z27" s="106">
        <f>SUM(Z28:Z55)</f>
        <v>0</v>
      </c>
      <c r="AA27" s="106">
        <f>SUM(AA28:AA55)</f>
        <v>0</v>
      </c>
      <c r="AB27" s="71">
        <f>SUM(AB28:AB55)</f>
        <v>3.2490000000000001</v>
      </c>
      <c r="AC27" s="71">
        <f>SUM(AC28:AC55)</f>
        <v>21.681500000000007</v>
      </c>
      <c r="AD27" s="70">
        <f>SUM(AD28:AD55)</f>
        <v>32305435</v>
      </c>
      <c r="AE27" s="106">
        <v>0</v>
      </c>
    </row>
    <row r="28" spans="1:31" ht="36.75" customHeight="1" x14ac:dyDescent="0.25">
      <c r="A28" s="96">
        <v>1</v>
      </c>
      <c r="B28" s="77" t="s">
        <v>434</v>
      </c>
      <c r="C28" s="79"/>
      <c r="D28" s="35"/>
      <c r="E28" s="80"/>
      <c r="F28" s="80"/>
      <c r="G28" s="80">
        <f>ROUND((D28+E28+F28)*9/100,4)</f>
        <v>0</v>
      </c>
      <c r="H28" s="81"/>
      <c r="I28" s="80">
        <f>ROUND((D28+E28+F28)*25/100,4)</f>
        <v>0</v>
      </c>
      <c r="J28" s="80">
        <f>ROUND(SUM(D28:I28),4)</f>
        <v>0</v>
      </c>
      <c r="K28" s="76">
        <f>ROUND(J28*$B$6,0)</f>
        <v>0</v>
      </c>
      <c r="L28" s="82"/>
      <c r="M28" s="178">
        <v>2.2690000000000001</v>
      </c>
      <c r="N28" s="80"/>
      <c r="O28" s="80"/>
      <c r="P28" s="80"/>
      <c r="Q28" s="81"/>
      <c r="R28" s="80">
        <f>ROUND((M28+N28+O28)*25/100,4)</f>
        <v>0.56730000000000003</v>
      </c>
      <c r="S28" s="64">
        <f>ROUND(SUM(M28:R28),4)</f>
        <v>2.8363</v>
      </c>
      <c r="T28" s="83">
        <f>ROUND(S28*$B$6,0)</f>
        <v>4226087</v>
      </c>
      <c r="U28" s="60" t="s">
        <v>34</v>
      </c>
      <c r="V28" s="85">
        <f t="shared" ref="V28:V55" si="12">M28-D28</f>
        <v>2.2690000000000001</v>
      </c>
      <c r="W28" s="85"/>
      <c r="X28" s="85">
        <f>O28-F28</f>
        <v>0</v>
      </c>
      <c r="Y28" s="85">
        <f>P28-G28</f>
        <v>0</v>
      </c>
      <c r="Z28" s="85"/>
      <c r="AA28" s="85"/>
      <c r="AB28" s="85">
        <f>R28-I28</f>
        <v>0.56730000000000003</v>
      </c>
      <c r="AC28" s="85">
        <f>SUM(V28:AB28)</f>
        <v>2.8363</v>
      </c>
      <c r="AD28" s="86">
        <f>AC28*$B$6</f>
        <v>4226087</v>
      </c>
      <c r="AE28" s="84" t="s">
        <v>435</v>
      </c>
    </row>
    <row r="29" spans="1:31" ht="35.25" customHeight="1" x14ac:dyDescent="0.25">
      <c r="A29" s="96">
        <v>2</v>
      </c>
      <c r="B29" s="77" t="s">
        <v>436</v>
      </c>
      <c r="C29" s="79"/>
      <c r="D29" s="35"/>
      <c r="E29" s="80"/>
      <c r="F29" s="80"/>
      <c r="G29" s="80">
        <f>ROUND((D29+E29+F29)*9/100,4)</f>
        <v>0</v>
      </c>
      <c r="H29" s="81"/>
      <c r="I29" s="80">
        <f t="shared" ref="I29:I52" si="13">ROUND((D29+E29+F29)*25/100,4)</f>
        <v>0</v>
      </c>
      <c r="J29" s="80">
        <f t="shared" ref="J29:J55" si="14">ROUND(SUM(D29:I29),4)</f>
        <v>0</v>
      </c>
      <c r="K29" s="76">
        <f t="shared" ref="K29:K55" si="15">ROUND(J29*$B$6,0)</f>
        <v>0</v>
      </c>
      <c r="L29" s="82"/>
      <c r="M29" s="178">
        <v>2.2690000000000001</v>
      </c>
      <c r="N29" s="80"/>
      <c r="O29" s="80"/>
      <c r="P29" s="80"/>
      <c r="Q29" s="81"/>
      <c r="R29" s="80">
        <f t="shared" ref="R29:R52" si="16">ROUND((M29+N29+O29)*25/100,4)</f>
        <v>0.56730000000000003</v>
      </c>
      <c r="S29" s="64">
        <f t="shared" ref="S29:S55" si="17">ROUND(SUM(M29:R29),4)</f>
        <v>2.8363</v>
      </c>
      <c r="T29" s="83">
        <f t="shared" ref="T29:T55" si="18">ROUND(S29*$B$6,0)</f>
        <v>4226087</v>
      </c>
      <c r="U29" s="60" t="s">
        <v>34</v>
      </c>
      <c r="V29" s="85">
        <f t="shared" si="12"/>
        <v>2.2690000000000001</v>
      </c>
      <c r="W29" s="85">
        <f>N29-E29</f>
        <v>0</v>
      </c>
      <c r="X29" s="85"/>
      <c r="Y29" s="85">
        <f t="shared" ref="Y29:Y55" si="19">P29-G29</f>
        <v>0</v>
      </c>
      <c r="Z29" s="85"/>
      <c r="AA29" s="85"/>
      <c r="AB29" s="85">
        <f t="shared" ref="AB29:AB55" si="20">R29-I29</f>
        <v>0.56730000000000003</v>
      </c>
      <c r="AC29" s="85">
        <f t="shared" ref="AC29:AC55" si="21">SUM(V29:AB29)</f>
        <v>2.8363</v>
      </c>
      <c r="AD29" s="86">
        <f t="shared" ref="AD29:AD55" si="22">AC29*$B$6</f>
        <v>4226087</v>
      </c>
      <c r="AE29" s="84" t="s">
        <v>435</v>
      </c>
    </row>
    <row r="30" spans="1:31" ht="35.25" customHeight="1" x14ac:dyDescent="0.25">
      <c r="A30" s="96">
        <v>3</v>
      </c>
      <c r="B30" s="77" t="s">
        <v>437</v>
      </c>
      <c r="C30" s="79"/>
      <c r="D30" s="35"/>
      <c r="E30" s="80"/>
      <c r="F30" s="80"/>
      <c r="G30" s="80">
        <f>ROUND((D30+E30+F30)*6/100,4)</f>
        <v>0</v>
      </c>
      <c r="H30" s="81"/>
      <c r="I30" s="80">
        <f t="shared" si="13"/>
        <v>0</v>
      </c>
      <c r="J30" s="80">
        <f t="shared" si="14"/>
        <v>0</v>
      </c>
      <c r="K30" s="76">
        <f t="shared" si="15"/>
        <v>0</v>
      </c>
      <c r="L30" s="82"/>
      <c r="M30" s="178">
        <v>2.2690000000000001</v>
      </c>
      <c r="N30" s="80"/>
      <c r="O30" s="80"/>
      <c r="P30" s="80"/>
      <c r="Q30" s="81"/>
      <c r="R30" s="80">
        <f t="shared" si="16"/>
        <v>0.56730000000000003</v>
      </c>
      <c r="S30" s="64">
        <f t="shared" si="17"/>
        <v>2.8363</v>
      </c>
      <c r="T30" s="83">
        <f t="shared" si="18"/>
        <v>4226087</v>
      </c>
      <c r="U30" s="60" t="s">
        <v>34</v>
      </c>
      <c r="V30" s="85">
        <f t="shared" si="12"/>
        <v>2.2690000000000001</v>
      </c>
      <c r="W30" s="85"/>
      <c r="X30" s="85"/>
      <c r="Y30" s="85">
        <f t="shared" si="19"/>
        <v>0</v>
      </c>
      <c r="Z30" s="85"/>
      <c r="AA30" s="85"/>
      <c r="AB30" s="85">
        <f t="shared" si="20"/>
        <v>0.56730000000000003</v>
      </c>
      <c r="AC30" s="85">
        <f t="shared" si="21"/>
        <v>2.8363</v>
      </c>
      <c r="AD30" s="86">
        <f t="shared" si="22"/>
        <v>4226087</v>
      </c>
      <c r="AE30" s="84" t="s">
        <v>435</v>
      </c>
    </row>
    <row r="31" spans="1:31" ht="35.25" customHeight="1" x14ac:dyDescent="0.25">
      <c r="A31" s="96">
        <v>4</v>
      </c>
      <c r="B31" s="77" t="s">
        <v>232</v>
      </c>
      <c r="C31" s="79"/>
      <c r="D31" s="35"/>
      <c r="E31" s="80"/>
      <c r="F31" s="80"/>
      <c r="G31" s="80">
        <f>ROUND((D31+E31+F31)*9/100,4)</f>
        <v>0</v>
      </c>
      <c r="H31" s="81"/>
      <c r="I31" s="80">
        <f t="shared" si="13"/>
        <v>0</v>
      </c>
      <c r="J31" s="80">
        <f t="shared" si="14"/>
        <v>0</v>
      </c>
      <c r="K31" s="76">
        <f t="shared" si="15"/>
        <v>0</v>
      </c>
      <c r="L31" s="82"/>
      <c r="M31" s="178">
        <v>2.2690000000000001</v>
      </c>
      <c r="N31" s="80"/>
      <c r="O31" s="80"/>
      <c r="P31" s="80"/>
      <c r="Q31" s="81"/>
      <c r="R31" s="80">
        <f t="shared" si="16"/>
        <v>0.56730000000000003</v>
      </c>
      <c r="S31" s="64">
        <f t="shared" si="17"/>
        <v>2.8363</v>
      </c>
      <c r="T31" s="83">
        <f t="shared" si="18"/>
        <v>4226087</v>
      </c>
      <c r="U31" s="60" t="s">
        <v>34</v>
      </c>
      <c r="V31" s="85">
        <f t="shared" si="12"/>
        <v>2.2690000000000001</v>
      </c>
      <c r="W31" s="85"/>
      <c r="X31" s="85"/>
      <c r="Y31" s="85">
        <f t="shared" si="19"/>
        <v>0</v>
      </c>
      <c r="Z31" s="85"/>
      <c r="AA31" s="85"/>
      <c r="AB31" s="85">
        <f t="shared" si="20"/>
        <v>0.56730000000000003</v>
      </c>
      <c r="AC31" s="85">
        <f t="shared" si="21"/>
        <v>2.8363</v>
      </c>
      <c r="AD31" s="86">
        <f t="shared" si="22"/>
        <v>4226087</v>
      </c>
      <c r="AE31" s="84" t="s">
        <v>435</v>
      </c>
    </row>
    <row r="32" spans="1:31" ht="35.25" customHeight="1" x14ac:dyDescent="0.25">
      <c r="A32" s="96">
        <v>5</v>
      </c>
      <c r="B32" s="77" t="s">
        <v>438</v>
      </c>
      <c r="C32" s="79"/>
      <c r="D32" s="35"/>
      <c r="E32" s="80"/>
      <c r="F32" s="80"/>
      <c r="G32" s="80">
        <f t="shared" ref="G32" si="23">ROUND((D32+E32+F32)*9/100,4)</f>
        <v>0</v>
      </c>
      <c r="H32" s="81"/>
      <c r="I32" s="80">
        <f t="shared" si="13"/>
        <v>0</v>
      </c>
      <c r="J32" s="80">
        <f t="shared" si="14"/>
        <v>0</v>
      </c>
      <c r="K32" s="76">
        <f t="shared" si="15"/>
        <v>0</v>
      </c>
      <c r="L32" s="82"/>
      <c r="M32" s="178">
        <v>2.2690000000000001</v>
      </c>
      <c r="N32" s="80"/>
      <c r="O32" s="80"/>
      <c r="P32" s="80"/>
      <c r="Q32" s="81"/>
      <c r="R32" s="80">
        <f t="shared" si="16"/>
        <v>0.56730000000000003</v>
      </c>
      <c r="S32" s="64">
        <f t="shared" si="17"/>
        <v>2.8363</v>
      </c>
      <c r="T32" s="83">
        <f t="shared" si="18"/>
        <v>4226087</v>
      </c>
      <c r="U32" s="60" t="s">
        <v>34</v>
      </c>
      <c r="V32" s="85">
        <f t="shared" si="12"/>
        <v>2.2690000000000001</v>
      </c>
      <c r="W32" s="85"/>
      <c r="X32" s="85"/>
      <c r="Y32" s="85">
        <f t="shared" si="19"/>
        <v>0</v>
      </c>
      <c r="Z32" s="85"/>
      <c r="AA32" s="85"/>
      <c r="AB32" s="85">
        <f t="shared" si="20"/>
        <v>0.56730000000000003</v>
      </c>
      <c r="AC32" s="85">
        <f t="shared" si="21"/>
        <v>2.8363</v>
      </c>
      <c r="AD32" s="86">
        <f t="shared" si="22"/>
        <v>4226087</v>
      </c>
      <c r="AE32" s="84" t="s">
        <v>435</v>
      </c>
    </row>
    <row r="33" spans="1:31" ht="35.25" customHeight="1" x14ac:dyDescent="0.25">
      <c r="A33" s="96">
        <v>6</v>
      </c>
      <c r="B33" s="77" t="s">
        <v>439</v>
      </c>
      <c r="C33" s="79"/>
      <c r="D33" s="35"/>
      <c r="E33" s="80"/>
      <c r="F33" s="80"/>
      <c r="G33" s="80">
        <f>ROUND((D33+E33+F33)*13/100,4)</f>
        <v>0</v>
      </c>
      <c r="H33" s="81"/>
      <c r="I33" s="80">
        <f t="shared" si="13"/>
        <v>0</v>
      </c>
      <c r="J33" s="80">
        <f t="shared" si="14"/>
        <v>0</v>
      </c>
      <c r="K33" s="76">
        <f t="shared" si="15"/>
        <v>0</v>
      </c>
      <c r="L33" s="82"/>
      <c r="M33" s="178">
        <v>1.9890000000000001</v>
      </c>
      <c r="N33" s="80"/>
      <c r="O33" s="80"/>
      <c r="P33" s="80"/>
      <c r="Q33" s="81"/>
      <c r="R33" s="80"/>
      <c r="S33" s="64">
        <f t="shared" si="17"/>
        <v>1.9890000000000001</v>
      </c>
      <c r="T33" s="83">
        <f t="shared" si="18"/>
        <v>2963610</v>
      </c>
      <c r="U33" s="60" t="s">
        <v>34</v>
      </c>
      <c r="V33" s="85">
        <f t="shared" si="12"/>
        <v>1.9890000000000001</v>
      </c>
      <c r="W33" s="85"/>
      <c r="X33" s="85"/>
      <c r="Y33" s="85">
        <f t="shared" si="19"/>
        <v>0</v>
      </c>
      <c r="Z33" s="85"/>
      <c r="AA33" s="85"/>
      <c r="AB33" s="85">
        <f t="shared" si="20"/>
        <v>0</v>
      </c>
      <c r="AC33" s="85">
        <f t="shared" si="21"/>
        <v>1.9890000000000001</v>
      </c>
      <c r="AD33" s="86">
        <f t="shared" si="22"/>
        <v>2963610</v>
      </c>
      <c r="AE33" s="84" t="s">
        <v>435</v>
      </c>
    </row>
    <row r="34" spans="1:31" ht="35.25" customHeight="1" x14ac:dyDescent="0.25">
      <c r="A34" s="96">
        <v>7</v>
      </c>
      <c r="B34" s="77" t="s">
        <v>160</v>
      </c>
      <c r="C34" s="79"/>
      <c r="D34" s="35">
        <v>3.33</v>
      </c>
      <c r="E34" s="80"/>
      <c r="F34" s="80"/>
      <c r="G34" s="80"/>
      <c r="H34" s="81"/>
      <c r="I34" s="80">
        <f t="shared" si="13"/>
        <v>0.83250000000000002</v>
      </c>
      <c r="J34" s="80">
        <f t="shared" si="14"/>
        <v>4.1624999999999996</v>
      </c>
      <c r="K34" s="76">
        <f t="shared" si="15"/>
        <v>6202125</v>
      </c>
      <c r="L34" s="82"/>
      <c r="M34" s="88">
        <v>3.33</v>
      </c>
      <c r="N34" s="80"/>
      <c r="O34" s="80"/>
      <c r="P34" s="80">
        <f>ROUND((M34+N34+O34)*15/100,4)</f>
        <v>0.4995</v>
      </c>
      <c r="Q34" s="81"/>
      <c r="R34" s="80">
        <f t="shared" si="16"/>
        <v>0.83250000000000002</v>
      </c>
      <c r="S34" s="64">
        <f t="shared" si="17"/>
        <v>4.6619999999999999</v>
      </c>
      <c r="T34" s="83">
        <f t="shared" si="18"/>
        <v>6946380</v>
      </c>
      <c r="U34" s="60" t="s">
        <v>34</v>
      </c>
      <c r="V34" s="85">
        <f t="shared" si="12"/>
        <v>0</v>
      </c>
      <c r="W34" s="85"/>
      <c r="X34" s="85"/>
      <c r="Y34" s="85">
        <f t="shared" si="19"/>
        <v>0.4995</v>
      </c>
      <c r="Z34" s="85"/>
      <c r="AA34" s="85"/>
      <c r="AB34" s="85">
        <f t="shared" si="20"/>
        <v>0</v>
      </c>
      <c r="AC34" s="85">
        <f t="shared" si="21"/>
        <v>0.4995</v>
      </c>
      <c r="AD34" s="86">
        <f t="shared" si="22"/>
        <v>744255</v>
      </c>
      <c r="AE34" s="84" t="s">
        <v>440</v>
      </c>
    </row>
    <row r="35" spans="1:31" ht="35.25" customHeight="1" x14ac:dyDescent="0.25">
      <c r="A35" s="96">
        <v>8</v>
      </c>
      <c r="B35" s="77" t="s">
        <v>441</v>
      </c>
      <c r="C35" s="79"/>
      <c r="D35" s="35">
        <v>3</v>
      </c>
      <c r="E35" s="80"/>
      <c r="F35" s="80"/>
      <c r="G35" s="80"/>
      <c r="H35" s="81"/>
      <c r="I35" s="80">
        <f t="shared" si="13"/>
        <v>0.75</v>
      </c>
      <c r="J35" s="80">
        <f t="shared" si="14"/>
        <v>3.75</v>
      </c>
      <c r="K35" s="76">
        <f t="shared" si="15"/>
        <v>5587500</v>
      </c>
      <c r="L35" s="82"/>
      <c r="M35" s="88">
        <v>3</v>
      </c>
      <c r="N35" s="80"/>
      <c r="O35" s="80"/>
      <c r="P35" s="80">
        <f>ROUND((M35+N35+O35)*7/100,4)</f>
        <v>0.21</v>
      </c>
      <c r="Q35" s="81"/>
      <c r="R35" s="80">
        <f t="shared" si="16"/>
        <v>0.75</v>
      </c>
      <c r="S35" s="64">
        <f t="shared" si="17"/>
        <v>3.96</v>
      </c>
      <c r="T35" s="83">
        <f t="shared" si="18"/>
        <v>5900400</v>
      </c>
      <c r="U35" s="60" t="s">
        <v>34</v>
      </c>
      <c r="V35" s="85">
        <f t="shared" si="12"/>
        <v>0</v>
      </c>
      <c r="W35" s="85"/>
      <c r="X35" s="85"/>
      <c r="Y35" s="85">
        <f t="shared" si="19"/>
        <v>0.21</v>
      </c>
      <c r="Z35" s="85"/>
      <c r="AA35" s="85"/>
      <c r="AB35" s="85">
        <f t="shared" si="20"/>
        <v>0</v>
      </c>
      <c r="AC35" s="85">
        <f t="shared" si="21"/>
        <v>0.21</v>
      </c>
      <c r="AD35" s="86">
        <f t="shared" si="22"/>
        <v>312900</v>
      </c>
      <c r="AE35" s="84" t="s">
        <v>140</v>
      </c>
    </row>
    <row r="36" spans="1:31" ht="35.25" customHeight="1" x14ac:dyDescent="0.25">
      <c r="A36" s="96">
        <v>9</v>
      </c>
      <c r="B36" s="77" t="s">
        <v>396</v>
      </c>
      <c r="C36" s="79"/>
      <c r="D36" s="35">
        <v>3</v>
      </c>
      <c r="E36" s="80"/>
      <c r="F36" s="80"/>
      <c r="G36" s="80"/>
      <c r="H36" s="81"/>
      <c r="I36" s="80">
        <f>ROUND((D36+E36+F36)*25/100,4)</f>
        <v>0.75</v>
      </c>
      <c r="J36" s="80">
        <f t="shared" si="14"/>
        <v>3.75</v>
      </c>
      <c r="K36" s="76">
        <f t="shared" si="15"/>
        <v>5587500</v>
      </c>
      <c r="L36" s="82"/>
      <c r="M36" s="88">
        <v>3</v>
      </c>
      <c r="N36" s="80"/>
      <c r="O36" s="80"/>
      <c r="P36" s="80">
        <f>ROUND((M36+N36+O36)*5/100,4)</f>
        <v>0.15</v>
      </c>
      <c r="Q36" s="81"/>
      <c r="R36" s="80">
        <f>ROUND((M36+N36+O36)*25/100,4)</f>
        <v>0.75</v>
      </c>
      <c r="S36" s="64">
        <f t="shared" si="17"/>
        <v>3.9</v>
      </c>
      <c r="T36" s="83">
        <f t="shared" si="18"/>
        <v>5811000</v>
      </c>
      <c r="U36" s="60" t="s">
        <v>34</v>
      </c>
      <c r="V36" s="85">
        <f t="shared" si="12"/>
        <v>0</v>
      </c>
      <c r="W36" s="85"/>
      <c r="X36" s="85"/>
      <c r="Y36" s="85">
        <f t="shared" si="19"/>
        <v>0.15</v>
      </c>
      <c r="Z36" s="85"/>
      <c r="AA36" s="85"/>
      <c r="AB36" s="85">
        <f t="shared" si="20"/>
        <v>0</v>
      </c>
      <c r="AC36" s="85">
        <f t="shared" si="21"/>
        <v>0.15</v>
      </c>
      <c r="AD36" s="86">
        <f t="shared" si="22"/>
        <v>223500</v>
      </c>
      <c r="AE36" s="84" t="s">
        <v>442</v>
      </c>
    </row>
    <row r="37" spans="1:31" ht="35.25" customHeight="1" x14ac:dyDescent="0.25">
      <c r="A37" s="96">
        <v>10</v>
      </c>
      <c r="B37" s="77" t="s">
        <v>390</v>
      </c>
      <c r="C37" s="79"/>
      <c r="D37" s="35">
        <v>3</v>
      </c>
      <c r="E37" s="80"/>
      <c r="F37" s="80"/>
      <c r="G37" s="80"/>
      <c r="H37" s="81"/>
      <c r="I37" s="80">
        <f t="shared" si="13"/>
        <v>0.75</v>
      </c>
      <c r="J37" s="80">
        <f t="shared" si="14"/>
        <v>3.75</v>
      </c>
      <c r="K37" s="76">
        <f t="shared" si="15"/>
        <v>5587500</v>
      </c>
      <c r="L37" s="82"/>
      <c r="M37" s="88">
        <v>3</v>
      </c>
      <c r="N37" s="80"/>
      <c r="O37" s="80"/>
      <c r="P37" s="80">
        <f>ROUND((M37+N37+O37)*5/100,4)</f>
        <v>0.15</v>
      </c>
      <c r="Q37" s="81"/>
      <c r="R37" s="80">
        <f t="shared" si="16"/>
        <v>0.75</v>
      </c>
      <c r="S37" s="64">
        <f t="shared" si="17"/>
        <v>3.9</v>
      </c>
      <c r="T37" s="83">
        <f t="shared" si="18"/>
        <v>5811000</v>
      </c>
      <c r="U37" s="60" t="s">
        <v>34</v>
      </c>
      <c r="V37" s="85">
        <f t="shared" si="12"/>
        <v>0</v>
      </c>
      <c r="W37" s="85"/>
      <c r="X37" s="85"/>
      <c r="Y37" s="85">
        <f t="shared" si="19"/>
        <v>0.15</v>
      </c>
      <c r="Z37" s="85"/>
      <c r="AA37" s="85"/>
      <c r="AB37" s="85">
        <f t="shared" si="20"/>
        <v>0</v>
      </c>
      <c r="AC37" s="85">
        <f t="shared" si="21"/>
        <v>0.15</v>
      </c>
      <c r="AD37" s="86">
        <f t="shared" si="22"/>
        <v>223500</v>
      </c>
      <c r="AE37" s="84" t="s">
        <v>443</v>
      </c>
    </row>
    <row r="38" spans="1:31" ht="35.25" customHeight="1" x14ac:dyDescent="0.25">
      <c r="A38" s="96">
        <v>11</v>
      </c>
      <c r="B38" s="77" t="s">
        <v>401</v>
      </c>
      <c r="C38" s="79"/>
      <c r="D38" s="35">
        <v>3</v>
      </c>
      <c r="E38" s="80"/>
      <c r="F38" s="80">
        <v>0.25</v>
      </c>
      <c r="G38" s="80"/>
      <c r="H38" s="81"/>
      <c r="I38" s="80">
        <f>ROUND((D38+E38+F38)*25/100,4)</f>
        <v>0.8125</v>
      </c>
      <c r="J38" s="80">
        <f t="shared" si="14"/>
        <v>4.0625</v>
      </c>
      <c r="K38" s="76">
        <f t="shared" si="15"/>
        <v>6053125</v>
      </c>
      <c r="L38" s="82"/>
      <c r="M38" s="88">
        <v>3</v>
      </c>
      <c r="N38" s="80"/>
      <c r="O38" s="80">
        <v>0.25</v>
      </c>
      <c r="P38" s="80">
        <f>ROUND((M38+N38+O38)*5/100,4)</f>
        <v>0.16250000000000001</v>
      </c>
      <c r="Q38" s="81"/>
      <c r="R38" s="80">
        <f>ROUND((M38+N38+O38)*25/100,4)</f>
        <v>0.8125</v>
      </c>
      <c r="S38" s="64">
        <f t="shared" si="17"/>
        <v>4.2249999999999996</v>
      </c>
      <c r="T38" s="83">
        <f t="shared" si="18"/>
        <v>6295250</v>
      </c>
      <c r="U38" s="60" t="s">
        <v>34</v>
      </c>
      <c r="V38" s="85">
        <f t="shared" si="12"/>
        <v>0</v>
      </c>
      <c r="W38" s="85"/>
      <c r="X38" s="85"/>
      <c r="Y38" s="85">
        <f t="shared" si="19"/>
        <v>0.16250000000000001</v>
      </c>
      <c r="Z38" s="85"/>
      <c r="AA38" s="85"/>
      <c r="AB38" s="85">
        <f t="shared" si="20"/>
        <v>0</v>
      </c>
      <c r="AC38" s="85">
        <f t="shared" si="21"/>
        <v>0.16250000000000001</v>
      </c>
      <c r="AD38" s="86">
        <f t="shared" si="22"/>
        <v>242125</v>
      </c>
      <c r="AE38" s="84" t="s">
        <v>443</v>
      </c>
    </row>
    <row r="39" spans="1:31" ht="35.25" customHeight="1" x14ac:dyDescent="0.25">
      <c r="A39" s="96">
        <v>12</v>
      </c>
      <c r="B39" s="77" t="s">
        <v>444</v>
      </c>
      <c r="C39" s="79"/>
      <c r="D39" s="35">
        <v>2.67</v>
      </c>
      <c r="E39" s="80"/>
      <c r="F39" s="80"/>
      <c r="G39" s="80"/>
      <c r="H39" s="81"/>
      <c r="I39" s="80">
        <f t="shared" si="13"/>
        <v>0.66749999999999998</v>
      </c>
      <c r="J39" s="80">
        <f t="shared" si="14"/>
        <v>3.3374999999999999</v>
      </c>
      <c r="K39" s="76">
        <f t="shared" si="15"/>
        <v>4972875</v>
      </c>
      <c r="L39" s="82"/>
      <c r="M39" s="88">
        <v>2.67</v>
      </c>
      <c r="N39" s="80"/>
      <c r="O39" s="80"/>
      <c r="P39" s="80">
        <f>ROUND((M39+N39+O39)*5/100,4)</f>
        <v>0.13350000000000001</v>
      </c>
      <c r="Q39" s="81"/>
      <c r="R39" s="80">
        <f t="shared" si="16"/>
        <v>0.66749999999999998</v>
      </c>
      <c r="S39" s="64">
        <f t="shared" si="17"/>
        <v>3.4710000000000001</v>
      </c>
      <c r="T39" s="83">
        <f t="shared" si="18"/>
        <v>5171790</v>
      </c>
      <c r="U39" s="60" t="s">
        <v>34</v>
      </c>
      <c r="V39" s="85">
        <f t="shared" si="12"/>
        <v>0</v>
      </c>
      <c r="W39" s="85"/>
      <c r="X39" s="85"/>
      <c r="Y39" s="85">
        <f t="shared" si="19"/>
        <v>0.13350000000000001</v>
      </c>
      <c r="Z39" s="85"/>
      <c r="AA39" s="85"/>
      <c r="AB39" s="85">
        <f t="shared" si="20"/>
        <v>0</v>
      </c>
      <c r="AC39" s="85">
        <f t="shared" si="21"/>
        <v>0.13350000000000001</v>
      </c>
      <c r="AD39" s="86">
        <f t="shared" si="22"/>
        <v>198915</v>
      </c>
      <c r="AE39" s="84" t="s">
        <v>443</v>
      </c>
    </row>
    <row r="40" spans="1:31" ht="47.25" customHeight="1" x14ac:dyDescent="0.25">
      <c r="A40" s="96">
        <v>13</v>
      </c>
      <c r="B40" s="77" t="s">
        <v>445</v>
      </c>
      <c r="C40" s="79"/>
      <c r="D40" s="35">
        <v>2.67</v>
      </c>
      <c r="E40" s="80"/>
      <c r="F40" s="80"/>
      <c r="G40" s="80"/>
      <c r="H40" s="81"/>
      <c r="I40" s="80">
        <f t="shared" si="13"/>
        <v>0.66749999999999998</v>
      </c>
      <c r="J40" s="80">
        <f t="shared" si="14"/>
        <v>3.3374999999999999</v>
      </c>
      <c r="K40" s="76">
        <f t="shared" si="15"/>
        <v>4972875</v>
      </c>
      <c r="L40" s="82"/>
      <c r="M40" s="88">
        <v>2.67</v>
      </c>
      <c r="N40" s="80"/>
      <c r="O40" s="80"/>
      <c r="P40" s="80">
        <f>ROUND((M40+N40+O40)*5/100,4)</f>
        <v>0.13350000000000001</v>
      </c>
      <c r="Q40" s="81"/>
      <c r="R40" s="80">
        <f t="shared" si="16"/>
        <v>0.66749999999999998</v>
      </c>
      <c r="S40" s="64">
        <f t="shared" si="17"/>
        <v>3.4710000000000001</v>
      </c>
      <c r="T40" s="83">
        <f t="shared" si="18"/>
        <v>5171790</v>
      </c>
      <c r="U40" s="60" t="s">
        <v>34</v>
      </c>
      <c r="V40" s="85">
        <f t="shared" si="12"/>
        <v>0</v>
      </c>
      <c r="W40" s="85"/>
      <c r="X40" s="85"/>
      <c r="Y40" s="85">
        <f t="shared" si="19"/>
        <v>0.13350000000000001</v>
      </c>
      <c r="Z40" s="85"/>
      <c r="AA40" s="85"/>
      <c r="AB40" s="85">
        <f t="shared" si="20"/>
        <v>0</v>
      </c>
      <c r="AC40" s="85">
        <f t="shared" si="21"/>
        <v>0.13350000000000001</v>
      </c>
      <c r="AD40" s="86">
        <f t="shared" si="22"/>
        <v>198915</v>
      </c>
      <c r="AE40" s="84" t="s">
        <v>443</v>
      </c>
    </row>
    <row r="41" spans="1:31" ht="35.25" customHeight="1" x14ac:dyDescent="0.25">
      <c r="A41" s="96">
        <v>14</v>
      </c>
      <c r="B41" s="77" t="s">
        <v>446</v>
      </c>
      <c r="C41" s="79"/>
      <c r="D41" s="35">
        <v>3</v>
      </c>
      <c r="E41" s="80"/>
      <c r="F41" s="80">
        <v>0.35</v>
      </c>
      <c r="G41" s="80"/>
      <c r="H41" s="81"/>
      <c r="I41" s="80">
        <f t="shared" si="13"/>
        <v>0.83750000000000002</v>
      </c>
      <c r="J41" s="80">
        <f t="shared" si="14"/>
        <v>4.1875</v>
      </c>
      <c r="K41" s="76">
        <f t="shared" si="15"/>
        <v>6239375</v>
      </c>
      <c r="L41" s="82"/>
      <c r="M41" s="88">
        <v>3</v>
      </c>
      <c r="N41" s="80"/>
      <c r="O41" s="80">
        <v>0.35</v>
      </c>
      <c r="P41" s="80">
        <f>ROUND((M41+N41+O41)*5/100,4)</f>
        <v>0.16750000000000001</v>
      </c>
      <c r="Q41" s="81"/>
      <c r="R41" s="80">
        <f t="shared" si="16"/>
        <v>0.83750000000000002</v>
      </c>
      <c r="S41" s="64">
        <f t="shared" si="17"/>
        <v>4.3550000000000004</v>
      </c>
      <c r="T41" s="83">
        <f t="shared" si="18"/>
        <v>6488950</v>
      </c>
      <c r="U41" s="60" t="s">
        <v>34</v>
      </c>
      <c r="V41" s="85">
        <f t="shared" si="12"/>
        <v>0</v>
      </c>
      <c r="W41" s="85"/>
      <c r="X41" s="85"/>
      <c r="Y41" s="85">
        <f t="shared" si="19"/>
        <v>0.16750000000000001</v>
      </c>
      <c r="Z41" s="85"/>
      <c r="AA41" s="85"/>
      <c r="AB41" s="85">
        <f t="shared" si="20"/>
        <v>0</v>
      </c>
      <c r="AC41" s="85">
        <f t="shared" si="21"/>
        <v>0.16750000000000001</v>
      </c>
      <c r="AD41" s="86">
        <f t="shared" si="22"/>
        <v>249575.00000000003</v>
      </c>
      <c r="AE41" s="84" t="s">
        <v>443</v>
      </c>
    </row>
    <row r="42" spans="1:31" ht="35.25" customHeight="1" x14ac:dyDescent="0.25">
      <c r="A42" s="96">
        <v>15</v>
      </c>
      <c r="B42" s="77" t="s">
        <v>190</v>
      </c>
      <c r="C42" s="79"/>
      <c r="D42" s="35">
        <v>2.67</v>
      </c>
      <c r="E42" s="80"/>
      <c r="F42" s="80"/>
      <c r="G42" s="80"/>
      <c r="H42" s="81"/>
      <c r="I42" s="80">
        <f t="shared" si="13"/>
        <v>0.66749999999999998</v>
      </c>
      <c r="J42" s="80">
        <f t="shared" si="14"/>
        <v>3.3374999999999999</v>
      </c>
      <c r="K42" s="76">
        <f t="shared" si="15"/>
        <v>4972875</v>
      </c>
      <c r="L42" s="82"/>
      <c r="M42" s="88">
        <v>2.67</v>
      </c>
      <c r="N42" s="80"/>
      <c r="O42" s="80"/>
      <c r="P42" s="80">
        <f>ROUND((M42+N42+O42)*7/100,4)</f>
        <v>0.18690000000000001</v>
      </c>
      <c r="Q42" s="81"/>
      <c r="R42" s="80">
        <f t="shared" si="16"/>
        <v>0.66749999999999998</v>
      </c>
      <c r="S42" s="64">
        <f t="shared" si="17"/>
        <v>3.5244</v>
      </c>
      <c r="T42" s="83">
        <f t="shared" si="18"/>
        <v>5251356</v>
      </c>
      <c r="U42" s="60" t="s">
        <v>34</v>
      </c>
      <c r="V42" s="85">
        <f t="shared" si="12"/>
        <v>0</v>
      </c>
      <c r="W42" s="85"/>
      <c r="X42" s="85"/>
      <c r="Y42" s="85">
        <f t="shared" si="19"/>
        <v>0.18690000000000001</v>
      </c>
      <c r="Z42" s="85"/>
      <c r="AA42" s="85"/>
      <c r="AB42" s="85">
        <f t="shared" si="20"/>
        <v>0</v>
      </c>
      <c r="AC42" s="85">
        <f t="shared" si="21"/>
        <v>0.18690000000000001</v>
      </c>
      <c r="AD42" s="86">
        <f t="shared" si="22"/>
        <v>278481</v>
      </c>
      <c r="AE42" s="84" t="s">
        <v>447</v>
      </c>
    </row>
    <row r="43" spans="1:31" ht="35.25" customHeight="1" x14ac:dyDescent="0.25">
      <c r="A43" s="96">
        <v>16</v>
      </c>
      <c r="B43" s="77" t="s">
        <v>392</v>
      </c>
      <c r="C43" s="79"/>
      <c r="D43" s="35">
        <v>3</v>
      </c>
      <c r="E43" s="80"/>
      <c r="F43" s="80"/>
      <c r="G43" s="80"/>
      <c r="H43" s="81"/>
      <c r="I43" s="80">
        <f t="shared" si="13"/>
        <v>0.75</v>
      </c>
      <c r="J43" s="80">
        <f t="shared" si="14"/>
        <v>3.75</v>
      </c>
      <c r="K43" s="76">
        <f t="shared" si="15"/>
        <v>5587500</v>
      </c>
      <c r="L43" s="82"/>
      <c r="M43" s="88">
        <v>3</v>
      </c>
      <c r="N43" s="80"/>
      <c r="O43" s="80"/>
      <c r="P43" s="80">
        <f>ROUND((M43+N43+O43)*11/100,4)</f>
        <v>0.33</v>
      </c>
      <c r="Q43" s="81"/>
      <c r="R43" s="80">
        <f t="shared" si="16"/>
        <v>0.75</v>
      </c>
      <c r="S43" s="64">
        <f t="shared" si="17"/>
        <v>4.08</v>
      </c>
      <c r="T43" s="83">
        <f t="shared" si="18"/>
        <v>6079200</v>
      </c>
      <c r="U43" s="60" t="s">
        <v>34</v>
      </c>
      <c r="V43" s="85">
        <f t="shared" si="12"/>
        <v>0</v>
      </c>
      <c r="W43" s="85"/>
      <c r="X43" s="85"/>
      <c r="Y43" s="85">
        <f t="shared" si="19"/>
        <v>0.33</v>
      </c>
      <c r="Z43" s="85"/>
      <c r="AA43" s="85"/>
      <c r="AB43" s="85">
        <f t="shared" si="20"/>
        <v>0</v>
      </c>
      <c r="AC43" s="85">
        <f t="shared" si="21"/>
        <v>0.33</v>
      </c>
      <c r="AD43" s="86">
        <f t="shared" si="22"/>
        <v>491700</v>
      </c>
      <c r="AE43" s="84" t="s">
        <v>249</v>
      </c>
    </row>
    <row r="44" spans="1:31" ht="35.25" customHeight="1" x14ac:dyDescent="0.25">
      <c r="A44" s="96">
        <v>17</v>
      </c>
      <c r="B44" s="77" t="s">
        <v>172</v>
      </c>
      <c r="C44" s="79"/>
      <c r="D44" s="35">
        <v>3</v>
      </c>
      <c r="E44" s="80"/>
      <c r="F44" s="80">
        <v>0.35</v>
      </c>
      <c r="G44" s="80"/>
      <c r="H44" s="81"/>
      <c r="I44" s="80">
        <f t="shared" si="13"/>
        <v>0.83750000000000002</v>
      </c>
      <c r="J44" s="80">
        <f t="shared" si="14"/>
        <v>4.1875</v>
      </c>
      <c r="K44" s="76">
        <f t="shared" si="15"/>
        <v>6239375</v>
      </c>
      <c r="L44" s="82"/>
      <c r="M44" s="88">
        <v>3</v>
      </c>
      <c r="N44" s="80"/>
      <c r="O44" s="80">
        <v>0.35</v>
      </c>
      <c r="P44" s="80">
        <f>ROUND((M44+N44+O44)*8/100,4)</f>
        <v>0.26800000000000002</v>
      </c>
      <c r="Q44" s="81"/>
      <c r="R44" s="80">
        <f t="shared" si="16"/>
        <v>0.83750000000000002</v>
      </c>
      <c r="S44" s="64">
        <f t="shared" si="17"/>
        <v>4.4554999999999998</v>
      </c>
      <c r="T44" s="83">
        <f t="shared" si="18"/>
        <v>6638695</v>
      </c>
      <c r="U44" s="60" t="s">
        <v>34</v>
      </c>
      <c r="V44" s="85">
        <f t="shared" si="12"/>
        <v>0</v>
      </c>
      <c r="W44" s="85"/>
      <c r="X44" s="85"/>
      <c r="Y44" s="85">
        <f t="shared" si="19"/>
        <v>0.26800000000000002</v>
      </c>
      <c r="Z44" s="85"/>
      <c r="AA44" s="85"/>
      <c r="AB44" s="85">
        <f t="shared" si="20"/>
        <v>0</v>
      </c>
      <c r="AC44" s="85">
        <f t="shared" si="21"/>
        <v>0.26800000000000002</v>
      </c>
      <c r="AD44" s="86">
        <f t="shared" si="22"/>
        <v>399320</v>
      </c>
      <c r="AE44" s="84" t="s">
        <v>448</v>
      </c>
    </row>
    <row r="45" spans="1:31" ht="35.25" customHeight="1" x14ac:dyDescent="0.25">
      <c r="A45" s="96">
        <v>18</v>
      </c>
      <c r="B45" s="77" t="s">
        <v>205</v>
      </c>
      <c r="C45" s="79"/>
      <c r="D45" s="35">
        <v>3</v>
      </c>
      <c r="E45" s="80"/>
      <c r="F45" s="80"/>
      <c r="G45" s="80">
        <f>ROUND((D45+E45+F45)*6/100,4)</f>
        <v>0.18</v>
      </c>
      <c r="H45" s="81"/>
      <c r="I45" s="80">
        <f t="shared" si="13"/>
        <v>0.75</v>
      </c>
      <c r="J45" s="80">
        <f t="shared" si="14"/>
        <v>3.93</v>
      </c>
      <c r="K45" s="76">
        <f t="shared" si="15"/>
        <v>5855700</v>
      </c>
      <c r="L45" s="82"/>
      <c r="M45" s="88">
        <v>3.33</v>
      </c>
      <c r="N45" s="80"/>
      <c r="O45" s="80"/>
      <c r="P45" s="80">
        <f>ROUND((M45+N45+O45)*6/100,4)</f>
        <v>0.19980000000000001</v>
      </c>
      <c r="Q45" s="81"/>
      <c r="R45" s="80">
        <f t="shared" si="16"/>
        <v>0.83250000000000002</v>
      </c>
      <c r="S45" s="64">
        <f t="shared" si="17"/>
        <v>4.3623000000000003</v>
      </c>
      <c r="T45" s="83">
        <f t="shared" si="18"/>
        <v>6499827</v>
      </c>
      <c r="U45" s="60" t="s">
        <v>34</v>
      </c>
      <c r="V45" s="85">
        <f t="shared" si="12"/>
        <v>0.33000000000000007</v>
      </c>
      <c r="W45" s="85"/>
      <c r="X45" s="85"/>
      <c r="Y45" s="85">
        <f t="shared" si="19"/>
        <v>1.9800000000000012E-2</v>
      </c>
      <c r="Z45" s="85"/>
      <c r="AA45" s="85"/>
      <c r="AB45" s="85">
        <f t="shared" si="20"/>
        <v>8.2500000000000018E-2</v>
      </c>
      <c r="AC45" s="85">
        <f t="shared" si="21"/>
        <v>0.43230000000000013</v>
      </c>
      <c r="AD45" s="86">
        <f t="shared" si="22"/>
        <v>644127.00000000023</v>
      </c>
      <c r="AE45" s="84" t="s">
        <v>449</v>
      </c>
    </row>
    <row r="46" spans="1:31" ht="35.25" customHeight="1" x14ac:dyDescent="0.25">
      <c r="A46" s="96">
        <v>19</v>
      </c>
      <c r="B46" s="77" t="s">
        <v>370</v>
      </c>
      <c r="C46" s="79"/>
      <c r="D46" s="35">
        <v>2.67</v>
      </c>
      <c r="E46" s="80"/>
      <c r="F46" s="80"/>
      <c r="G46" s="80">
        <f>ROUND((D46+E46+F46)*6/100,4)</f>
        <v>0.16020000000000001</v>
      </c>
      <c r="H46" s="81"/>
      <c r="I46" s="80">
        <f t="shared" si="13"/>
        <v>0.66749999999999998</v>
      </c>
      <c r="J46" s="80">
        <f t="shared" si="14"/>
        <v>3.4977</v>
      </c>
      <c r="K46" s="76">
        <f t="shared" si="15"/>
        <v>5211573</v>
      </c>
      <c r="L46" s="82"/>
      <c r="M46" s="88">
        <v>3</v>
      </c>
      <c r="N46" s="80"/>
      <c r="O46" s="80"/>
      <c r="P46" s="80">
        <f>ROUND((M46+N46+O46)*6/100,4)</f>
        <v>0.18</v>
      </c>
      <c r="Q46" s="81"/>
      <c r="R46" s="80">
        <f t="shared" si="16"/>
        <v>0.75</v>
      </c>
      <c r="S46" s="64">
        <f t="shared" si="17"/>
        <v>3.93</v>
      </c>
      <c r="T46" s="83">
        <f t="shared" si="18"/>
        <v>5855700</v>
      </c>
      <c r="U46" s="60" t="s">
        <v>34</v>
      </c>
      <c r="V46" s="85">
        <f t="shared" si="12"/>
        <v>0.33000000000000007</v>
      </c>
      <c r="W46" s="85"/>
      <c r="X46" s="85"/>
      <c r="Y46" s="85">
        <f t="shared" si="19"/>
        <v>1.9799999999999984E-2</v>
      </c>
      <c r="Z46" s="85"/>
      <c r="AA46" s="85"/>
      <c r="AB46" s="85">
        <f t="shared" si="20"/>
        <v>8.2500000000000018E-2</v>
      </c>
      <c r="AC46" s="85">
        <f t="shared" si="21"/>
        <v>0.43230000000000007</v>
      </c>
      <c r="AD46" s="86">
        <f t="shared" si="22"/>
        <v>644127.00000000012</v>
      </c>
      <c r="AE46" s="84" t="s">
        <v>425</v>
      </c>
    </row>
    <row r="47" spans="1:31" ht="35.25" customHeight="1" x14ac:dyDescent="0.25">
      <c r="A47" s="96">
        <v>20</v>
      </c>
      <c r="B47" s="77" t="s">
        <v>141</v>
      </c>
      <c r="C47" s="79"/>
      <c r="D47" s="35">
        <v>3.33</v>
      </c>
      <c r="E47" s="80"/>
      <c r="F47" s="80"/>
      <c r="G47" s="80">
        <f>ROUND((D47+E47+F47)*7/100,4)</f>
        <v>0.2331</v>
      </c>
      <c r="H47" s="81"/>
      <c r="I47" s="80">
        <f t="shared" si="13"/>
        <v>0.83250000000000002</v>
      </c>
      <c r="J47" s="80">
        <f t="shared" si="14"/>
        <v>4.3956</v>
      </c>
      <c r="K47" s="76">
        <f t="shared" si="15"/>
        <v>6549444</v>
      </c>
      <c r="L47" s="82"/>
      <c r="M47" s="88">
        <v>3.66</v>
      </c>
      <c r="N47" s="80"/>
      <c r="O47" s="80"/>
      <c r="P47" s="80">
        <f>ROUND((M47+N47+O47)*7/100,4)</f>
        <v>0.25619999999999998</v>
      </c>
      <c r="Q47" s="81"/>
      <c r="R47" s="80">
        <f t="shared" si="16"/>
        <v>0.91500000000000004</v>
      </c>
      <c r="S47" s="64">
        <f t="shared" si="17"/>
        <v>4.8311999999999999</v>
      </c>
      <c r="T47" s="83">
        <f t="shared" si="18"/>
        <v>7198488</v>
      </c>
      <c r="U47" s="60" t="s">
        <v>34</v>
      </c>
      <c r="V47" s="85">
        <f t="shared" si="12"/>
        <v>0.33000000000000007</v>
      </c>
      <c r="W47" s="85"/>
      <c r="X47" s="85"/>
      <c r="Y47" s="85">
        <f t="shared" si="19"/>
        <v>2.3099999999999982E-2</v>
      </c>
      <c r="Z47" s="85"/>
      <c r="AA47" s="85"/>
      <c r="AB47" s="85">
        <f t="shared" si="20"/>
        <v>8.2500000000000018E-2</v>
      </c>
      <c r="AC47" s="85">
        <f t="shared" si="21"/>
        <v>0.4356000000000001</v>
      </c>
      <c r="AD47" s="86">
        <f t="shared" si="22"/>
        <v>649044.00000000012</v>
      </c>
      <c r="AE47" s="84" t="s">
        <v>425</v>
      </c>
    </row>
    <row r="48" spans="1:31" ht="35.25" customHeight="1" x14ac:dyDescent="0.25">
      <c r="A48" s="96">
        <v>21</v>
      </c>
      <c r="B48" s="77" t="s">
        <v>213</v>
      </c>
      <c r="C48" s="79"/>
      <c r="D48" s="35">
        <v>2.67</v>
      </c>
      <c r="E48" s="80"/>
      <c r="F48" s="80"/>
      <c r="G48" s="80">
        <f>ROUND((D48+E48+F48)*6/100,4)</f>
        <v>0.16020000000000001</v>
      </c>
      <c r="H48" s="81"/>
      <c r="I48" s="80">
        <f t="shared" si="13"/>
        <v>0.66749999999999998</v>
      </c>
      <c r="J48" s="80">
        <f t="shared" si="14"/>
        <v>3.4977</v>
      </c>
      <c r="K48" s="76">
        <f t="shared" si="15"/>
        <v>5211573</v>
      </c>
      <c r="L48" s="82"/>
      <c r="M48" s="88">
        <v>3</v>
      </c>
      <c r="N48" s="80"/>
      <c r="O48" s="80"/>
      <c r="P48" s="80">
        <f>ROUND((M48+N48+O48)*6/100,4)</f>
        <v>0.18</v>
      </c>
      <c r="Q48" s="81"/>
      <c r="R48" s="80">
        <f t="shared" si="16"/>
        <v>0.75</v>
      </c>
      <c r="S48" s="64">
        <f t="shared" si="17"/>
        <v>3.93</v>
      </c>
      <c r="T48" s="83">
        <f t="shared" si="18"/>
        <v>5855700</v>
      </c>
      <c r="U48" s="60" t="s">
        <v>34</v>
      </c>
      <c r="V48" s="85">
        <f t="shared" si="12"/>
        <v>0.33000000000000007</v>
      </c>
      <c r="W48" s="85"/>
      <c r="X48" s="85"/>
      <c r="Y48" s="85">
        <f t="shared" si="19"/>
        <v>1.9799999999999984E-2</v>
      </c>
      <c r="Z48" s="85"/>
      <c r="AA48" s="85"/>
      <c r="AB48" s="85">
        <f t="shared" si="20"/>
        <v>8.2500000000000018E-2</v>
      </c>
      <c r="AC48" s="85">
        <f t="shared" si="21"/>
        <v>0.43230000000000007</v>
      </c>
      <c r="AD48" s="86">
        <f t="shared" si="22"/>
        <v>644127.00000000012</v>
      </c>
      <c r="AE48" s="84" t="s">
        <v>425</v>
      </c>
    </row>
    <row r="49" spans="1:31" ht="35.25" customHeight="1" x14ac:dyDescent="0.25">
      <c r="A49" s="96">
        <v>22</v>
      </c>
      <c r="B49" s="77" t="s">
        <v>237</v>
      </c>
      <c r="C49" s="79"/>
      <c r="D49" s="35">
        <v>3</v>
      </c>
      <c r="E49" s="80"/>
      <c r="F49" s="80"/>
      <c r="G49" s="80">
        <f>ROUND((D49+E49+F49)*9/100,4)</f>
        <v>0.27</v>
      </c>
      <c r="H49" s="81"/>
      <c r="I49" s="80">
        <f t="shared" si="13"/>
        <v>0.75</v>
      </c>
      <c r="J49" s="80">
        <f t="shared" si="14"/>
        <v>4.0199999999999996</v>
      </c>
      <c r="K49" s="76">
        <f t="shared" si="15"/>
        <v>5989800</v>
      </c>
      <c r="L49" s="82"/>
      <c r="M49" s="88">
        <v>3.33</v>
      </c>
      <c r="N49" s="80"/>
      <c r="O49" s="80"/>
      <c r="P49" s="80">
        <f>ROUND((M49+N49+O49)*9/100,4)</f>
        <v>0.29970000000000002</v>
      </c>
      <c r="Q49" s="81"/>
      <c r="R49" s="80">
        <f t="shared" si="16"/>
        <v>0.83250000000000002</v>
      </c>
      <c r="S49" s="64">
        <f t="shared" si="17"/>
        <v>4.4622000000000002</v>
      </c>
      <c r="T49" s="83">
        <f t="shared" si="18"/>
        <v>6648678</v>
      </c>
      <c r="U49" s="60" t="s">
        <v>34</v>
      </c>
      <c r="V49" s="85">
        <f t="shared" si="12"/>
        <v>0.33000000000000007</v>
      </c>
      <c r="W49" s="85"/>
      <c r="X49" s="85"/>
      <c r="Y49" s="85">
        <f t="shared" si="19"/>
        <v>2.9700000000000004E-2</v>
      </c>
      <c r="Z49" s="85"/>
      <c r="AA49" s="85"/>
      <c r="AB49" s="85">
        <f t="shared" si="20"/>
        <v>8.2500000000000018E-2</v>
      </c>
      <c r="AC49" s="85">
        <f t="shared" si="21"/>
        <v>0.44220000000000009</v>
      </c>
      <c r="AD49" s="86">
        <f t="shared" si="22"/>
        <v>658878.00000000012</v>
      </c>
      <c r="AE49" s="84" t="s">
        <v>425</v>
      </c>
    </row>
    <row r="50" spans="1:31" ht="35.25" customHeight="1" x14ac:dyDescent="0.25">
      <c r="A50" s="96">
        <v>23</v>
      </c>
      <c r="B50" s="77" t="s">
        <v>450</v>
      </c>
      <c r="C50" s="79"/>
      <c r="D50" s="35">
        <v>3</v>
      </c>
      <c r="E50" s="80"/>
      <c r="F50" s="80">
        <v>0.25</v>
      </c>
      <c r="G50" s="80">
        <f>ROUND((D50+E50+F50)*8/100,4)</f>
        <v>0.26</v>
      </c>
      <c r="H50" s="81"/>
      <c r="I50" s="80">
        <f t="shared" si="13"/>
        <v>0.8125</v>
      </c>
      <c r="J50" s="80">
        <f t="shared" si="14"/>
        <v>4.3224999999999998</v>
      </c>
      <c r="K50" s="76">
        <f t="shared" si="15"/>
        <v>6440525</v>
      </c>
      <c r="L50" s="82"/>
      <c r="M50" s="88">
        <v>3</v>
      </c>
      <c r="N50" s="80"/>
      <c r="O50" s="80">
        <v>0.25</v>
      </c>
      <c r="P50" s="80">
        <f>ROUND((M50+N50+O50)*9/100,4)</f>
        <v>0.29249999999999998</v>
      </c>
      <c r="Q50" s="81"/>
      <c r="R50" s="80">
        <f t="shared" si="16"/>
        <v>0.8125</v>
      </c>
      <c r="S50" s="64">
        <f t="shared" si="17"/>
        <v>4.3550000000000004</v>
      </c>
      <c r="T50" s="83">
        <f t="shared" si="18"/>
        <v>6488950</v>
      </c>
      <c r="U50" s="60" t="s">
        <v>34</v>
      </c>
      <c r="V50" s="85">
        <f t="shared" si="12"/>
        <v>0</v>
      </c>
      <c r="W50" s="85"/>
      <c r="X50" s="85"/>
      <c r="Y50" s="85">
        <f t="shared" si="19"/>
        <v>3.2499999999999973E-2</v>
      </c>
      <c r="Z50" s="85"/>
      <c r="AA50" s="85"/>
      <c r="AB50" s="85">
        <f t="shared" si="20"/>
        <v>0</v>
      </c>
      <c r="AC50" s="85">
        <f t="shared" si="21"/>
        <v>3.2499999999999973E-2</v>
      </c>
      <c r="AD50" s="86">
        <f t="shared" si="22"/>
        <v>48424.999999999964</v>
      </c>
      <c r="AE50" s="84" t="s">
        <v>451</v>
      </c>
    </row>
    <row r="51" spans="1:31" ht="35.25" customHeight="1" x14ac:dyDescent="0.25">
      <c r="A51" s="96">
        <v>24</v>
      </c>
      <c r="B51" s="77" t="s">
        <v>452</v>
      </c>
      <c r="C51" s="79"/>
      <c r="D51" s="35">
        <v>3</v>
      </c>
      <c r="E51" s="80"/>
      <c r="F51" s="80">
        <v>0.25</v>
      </c>
      <c r="G51" s="80">
        <f>ROUND((D51+E51+F51)*8/100,4)</f>
        <v>0.26</v>
      </c>
      <c r="H51" s="81"/>
      <c r="I51" s="80">
        <f t="shared" si="13"/>
        <v>0.8125</v>
      </c>
      <c r="J51" s="80">
        <f t="shared" si="14"/>
        <v>4.3224999999999998</v>
      </c>
      <c r="K51" s="76">
        <f t="shared" si="15"/>
        <v>6440525</v>
      </c>
      <c r="L51" s="82"/>
      <c r="M51" s="88">
        <v>3</v>
      </c>
      <c r="N51" s="80"/>
      <c r="O51" s="80">
        <v>0.25</v>
      </c>
      <c r="P51" s="80">
        <f>ROUND((M51+N51+O51)*9/100,4)</f>
        <v>0.29249999999999998</v>
      </c>
      <c r="Q51" s="81"/>
      <c r="R51" s="80">
        <f t="shared" si="16"/>
        <v>0.8125</v>
      </c>
      <c r="S51" s="64">
        <f t="shared" si="17"/>
        <v>4.3550000000000004</v>
      </c>
      <c r="T51" s="83">
        <f t="shared" si="18"/>
        <v>6488950</v>
      </c>
      <c r="U51" s="60" t="s">
        <v>34</v>
      </c>
      <c r="V51" s="85">
        <f t="shared" si="12"/>
        <v>0</v>
      </c>
      <c r="W51" s="85"/>
      <c r="X51" s="85"/>
      <c r="Y51" s="85">
        <f t="shared" si="19"/>
        <v>3.2499999999999973E-2</v>
      </c>
      <c r="Z51" s="85"/>
      <c r="AA51" s="85"/>
      <c r="AB51" s="85">
        <f t="shared" si="20"/>
        <v>0</v>
      </c>
      <c r="AC51" s="85">
        <f t="shared" si="21"/>
        <v>3.2499999999999973E-2</v>
      </c>
      <c r="AD51" s="86">
        <f t="shared" si="22"/>
        <v>48424.999999999964</v>
      </c>
      <c r="AE51" s="84" t="s">
        <v>451</v>
      </c>
    </row>
    <row r="52" spans="1:31" ht="35.25" customHeight="1" x14ac:dyDescent="0.25">
      <c r="A52" s="96">
        <v>25</v>
      </c>
      <c r="B52" s="77" t="s">
        <v>387</v>
      </c>
      <c r="C52" s="79"/>
      <c r="D52" s="35">
        <v>3.99</v>
      </c>
      <c r="E52" s="80"/>
      <c r="F52" s="80"/>
      <c r="G52" s="80">
        <f>ROUND((D52+E52+F52)*13/100,4)</f>
        <v>0.51870000000000005</v>
      </c>
      <c r="H52" s="81"/>
      <c r="I52" s="80">
        <f t="shared" si="13"/>
        <v>0.99750000000000005</v>
      </c>
      <c r="J52" s="80">
        <f t="shared" si="14"/>
        <v>5.5061999999999998</v>
      </c>
      <c r="K52" s="76">
        <f t="shared" si="15"/>
        <v>8204238</v>
      </c>
      <c r="L52" s="82"/>
      <c r="M52" s="88">
        <v>3.99</v>
      </c>
      <c r="N52" s="80"/>
      <c r="O52" s="80"/>
      <c r="P52" s="80">
        <f>ROUND((M52+N52+O52)*14/100,4)</f>
        <v>0.55859999999999999</v>
      </c>
      <c r="Q52" s="81"/>
      <c r="R52" s="80">
        <f t="shared" si="16"/>
        <v>0.99750000000000005</v>
      </c>
      <c r="S52" s="64">
        <f t="shared" si="17"/>
        <v>5.5461</v>
      </c>
      <c r="T52" s="83">
        <f t="shared" si="18"/>
        <v>8263689</v>
      </c>
      <c r="U52" s="60" t="s">
        <v>34</v>
      </c>
      <c r="V52" s="85">
        <f t="shared" si="12"/>
        <v>0</v>
      </c>
      <c r="W52" s="85"/>
      <c r="X52" s="85"/>
      <c r="Y52" s="85">
        <f t="shared" si="19"/>
        <v>3.9899999999999936E-2</v>
      </c>
      <c r="Z52" s="85"/>
      <c r="AA52" s="85"/>
      <c r="AB52" s="85">
        <f t="shared" si="20"/>
        <v>0</v>
      </c>
      <c r="AC52" s="85">
        <f t="shared" si="21"/>
        <v>3.9899999999999936E-2</v>
      </c>
      <c r="AD52" s="86">
        <f t="shared" si="22"/>
        <v>59450.999999999905</v>
      </c>
      <c r="AE52" s="84" t="s">
        <v>453</v>
      </c>
    </row>
    <row r="53" spans="1:31" ht="35.25" customHeight="1" x14ac:dyDescent="0.25">
      <c r="A53" s="96">
        <v>26</v>
      </c>
      <c r="B53" s="77" t="s">
        <v>454</v>
      </c>
      <c r="C53" s="79"/>
      <c r="D53" s="35">
        <v>3</v>
      </c>
      <c r="E53" s="80"/>
      <c r="F53" s="80"/>
      <c r="G53" s="80"/>
      <c r="H53" s="81"/>
      <c r="I53" s="80"/>
      <c r="J53" s="80">
        <f t="shared" si="14"/>
        <v>3</v>
      </c>
      <c r="K53" s="76">
        <f t="shared" si="15"/>
        <v>4470000</v>
      </c>
      <c r="L53" s="82"/>
      <c r="M53" s="88">
        <v>3.33</v>
      </c>
      <c r="N53" s="80"/>
      <c r="O53" s="80"/>
      <c r="P53" s="80"/>
      <c r="Q53" s="81"/>
      <c r="R53" s="80"/>
      <c r="S53" s="64">
        <f t="shared" si="17"/>
        <v>3.33</v>
      </c>
      <c r="T53" s="83">
        <f t="shared" si="18"/>
        <v>4961700</v>
      </c>
      <c r="U53" s="60" t="s">
        <v>34</v>
      </c>
      <c r="V53" s="85">
        <f t="shared" si="12"/>
        <v>0.33000000000000007</v>
      </c>
      <c r="W53" s="85"/>
      <c r="X53" s="85"/>
      <c r="Y53" s="85">
        <f t="shared" si="19"/>
        <v>0</v>
      </c>
      <c r="Z53" s="85"/>
      <c r="AA53" s="85"/>
      <c r="AB53" s="85">
        <f t="shared" si="20"/>
        <v>0</v>
      </c>
      <c r="AC53" s="85">
        <f t="shared" si="21"/>
        <v>0.33000000000000007</v>
      </c>
      <c r="AD53" s="86">
        <f t="shared" si="22"/>
        <v>491700.00000000012</v>
      </c>
      <c r="AE53" s="84" t="s">
        <v>449</v>
      </c>
    </row>
    <row r="54" spans="1:31" ht="35.25" customHeight="1" x14ac:dyDescent="0.25">
      <c r="A54" s="96">
        <v>27</v>
      </c>
      <c r="B54" s="77" t="s">
        <v>455</v>
      </c>
      <c r="C54" s="79"/>
      <c r="D54" s="35">
        <v>2.67</v>
      </c>
      <c r="E54" s="80"/>
      <c r="F54" s="80"/>
      <c r="G54" s="80"/>
      <c r="H54" s="81"/>
      <c r="I54" s="80"/>
      <c r="J54" s="80">
        <f t="shared" si="14"/>
        <v>2.67</v>
      </c>
      <c r="K54" s="76">
        <f t="shared" si="15"/>
        <v>3978300</v>
      </c>
      <c r="L54" s="82"/>
      <c r="M54" s="88">
        <v>3</v>
      </c>
      <c r="N54" s="80"/>
      <c r="O54" s="80"/>
      <c r="P54" s="80"/>
      <c r="Q54" s="81"/>
      <c r="R54" s="80"/>
      <c r="S54" s="64">
        <f t="shared" si="17"/>
        <v>3</v>
      </c>
      <c r="T54" s="83">
        <f t="shared" si="18"/>
        <v>4470000</v>
      </c>
      <c r="U54" s="60" t="s">
        <v>80</v>
      </c>
      <c r="V54" s="85">
        <f t="shared" si="12"/>
        <v>0.33000000000000007</v>
      </c>
      <c r="W54" s="85"/>
      <c r="X54" s="85"/>
      <c r="Y54" s="85">
        <f t="shared" si="19"/>
        <v>0</v>
      </c>
      <c r="Z54" s="85"/>
      <c r="AA54" s="85"/>
      <c r="AB54" s="85">
        <f t="shared" si="20"/>
        <v>0</v>
      </c>
      <c r="AC54" s="85">
        <f t="shared" si="21"/>
        <v>0.33000000000000007</v>
      </c>
      <c r="AD54" s="86">
        <f t="shared" si="22"/>
        <v>491700.00000000012</v>
      </c>
      <c r="AE54" s="84" t="s">
        <v>425</v>
      </c>
    </row>
    <row r="55" spans="1:31" ht="35.25" customHeight="1" x14ac:dyDescent="0.25">
      <c r="A55" s="96">
        <v>28</v>
      </c>
      <c r="B55" s="77" t="s">
        <v>456</v>
      </c>
      <c r="C55" s="79"/>
      <c r="D55" s="35">
        <v>2.4</v>
      </c>
      <c r="E55" s="80"/>
      <c r="F55" s="80"/>
      <c r="G55" s="80"/>
      <c r="H55" s="81"/>
      <c r="I55" s="80"/>
      <c r="J55" s="80">
        <f t="shared" si="14"/>
        <v>2.4</v>
      </c>
      <c r="K55" s="76">
        <f t="shared" si="15"/>
        <v>3576000</v>
      </c>
      <c r="L55" s="82"/>
      <c r="M55" s="88">
        <v>2.58</v>
      </c>
      <c r="N55" s="80"/>
      <c r="O55" s="80"/>
      <c r="P55" s="80"/>
      <c r="Q55" s="81"/>
      <c r="R55" s="80"/>
      <c r="S55" s="64">
        <f t="shared" si="17"/>
        <v>2.58</v>
      </c>
      <c r="T55" s="83">
        <f t="shared" si="18"/>
        <v>3844200</v>
      </c>
      <c r="U55" s="60" t="s">
        <v>457</v>
      </c>
      <c r="V55" s="85">
        <f t="shared" si="12"/>
        <v>0.18000000000000016</v>
      </c>
      <c r="W55" s="85"/>
      <c r="X55" s="85"/>
      <c r="Y55" s="85">
        <f t="shared" si="19"/>
        <v>0</v>
      </c>
      <c r="Z55" s="85"/>
      <c r="AA55" s="85"/>
      <c r="AB55" s="85">
        <f t="shared" si="20"/>
        <v>0</v>
      </c>
      <c r="AC55" s="85">
        <f t="shared" si="21"/>
        <v>0.18000000000000016</v>
      </c>
      <c r="AD55" s="86">
        <f t="shared" si="22"/>
        <v>268200.00000000023</v>
      </c>
      <c r="AE55" s="84" t="s">
        <v>425</v>
      </c>
    </row>
    <row r="56" spans="1:31" ht="22.5" customHeight="1" x14ac:dyDescent="0.25">
      <c r="A56" s="34" t="s">
        <v>36</v>
      </c>
      <c r="B56" s="66"/>
      <c r="C56" s="63"/>
      <c r="D56" s="73">
        <f t="shared" ref="D56:AD56" si="24">D57+D59</f>
        <v>0</v>
      </c>
      <c r="E56" s="68">
        <f t="shared" si="24"/>
        <v>0</v>
      </c>
      <c r="F56" s="73">
        <f t="shared" si="24"/>
        <v>0</v>
      </c>
      <c r="G56" s="68">
        <f t="shared" si="24"/>
        <v>0</v>
      </c>
      <c r="H56" s="73">
        <f t="shared" si="24"/>
        <v>0</v>
      </c>
      <c r="I56" s="68">
        <f t="shared" si="24"/>
        <v>0</v>
      </c>
      <c r="J56" s="68">
        <f t="shared" si="24"/>
        <v>0</v>
      </c>
      <c r="K56" s="67">
        <f t="shared" si="24"/>
        <v>0</v>
      </c>
      <c r="L56" s="73">
        <f t="shared" si="24"/>
        <v>0</v>
      </c>
      <c r="M56" s="73">
        <f t="shared" si="24"/>
        <v>0</v>
      </c>
      <c r="N56" s="68">
        <f t="shared" si="24"/>
        <v>0</v>
      </c>
      <c r="O56" s="73">
        <f t="shared" si="24"/>
        <v>0</v>
      </c>
      <c r="P56" s="68">
        <f t="shared" si="24"/>
        <v>0</v>
      </c>
      <c r="Q56" s="73">
        <f t="shared" si="24"/>
        <v>0</v>
      </c>
      <c r="R56" s="68">
        <f t="shared" si="24"/>
        <v>0</v>
      </c>
      <c r="S56" s="68">
        <f t="shared" si="24"/>
        <v>0</v>
      </c>
      <c r="T56" s="68">
        <f t="shared" si="24"/>
        <v>0</v>
      </c>
      <c r="U56" s="67">
        <f t="shared" si="24"/>
        <v>0</v>
      </c>
      <c r="V56" s="73">
        <f t="shared" si="24"/>
        <v>0</v>
      </c>
      <c r="W56" s="68">
        <f t="shared" si="24"/>
        <v>0</v>
      </c>
      <c r="X56" s="73">
        <f t="shared" si="24"/>
        <v>0</v>
      </c>
      <c r="Y56" s="68">
        <f t="shared" si="24"/>
        <v>0</v>
      </c>
      <c r="Z56" s="73">
        <f t="shared" si="24"/>
        <v>0</v>
      </c>
      <c r="AA56" s="73">
        <f t="shared" si="24"/>
        <v>0</v>
      </c>
      <c r="AB56" s="68">
        <f t="shared" si="24"/>
        <v>0</v>
      </c>
      <c r="AC56" s="68">
        <f>AC57+AC59</f>
        <v>0</v>
      </c>
      <c r="AD56" s="67">
        <f t="shared" si="24"/>
        <v>0</v>
      </c>
      <c r="AE56" s="72"/>
    </row>
    <row r="57" spans="1:31" ht="23.25" customHeight="1" x14ac:dyDescent="0.25">
      <c r="A57" s="59"/>
      <c r="B57" s="214" t="s">
        <v>29</v>
      </c>
      <c r="C57" s="60"/>
      <c r="D57" s="74">
        <f t="shared" ref="D57:AE57" si="25">SUM(D58:D58)</f>
        <v>0</v>
      </c>
      <c r="E57" s="78">
        <f t="shared" si="25"/>
        <v>0</v>
      </c>
      <c r="F57" s="74">
        <f t="shared" si="25"/>
        <v>0</v>
      </c>
      <c r="G57" s="78">
        <f t="shared" si="25"/>
        <v>0</v>
      </c>
      <c r="H57" s="74">
        <f t="shared" si="25"/>
        <v>0</v>
      </c>
      <c r="I57" s="78">
        <f t="shared" si="25"/>
        <v>0</v>
      </c>
      <c r="J57" s="78">
        <f t="shared" si="25"/>
        <v>0</v>
      </c>
      <c r="K57" s="75">
        <f t="shared" si="25"/>
        <v>0</v>
      </c>
      <c r="L57" s="74">
        <f t="shared" si="25"/>
        <v>0</v>
      </c>
      <c r="M57" s="74">
        <f t="shared" si="25"/>
        <v>0</v>
      </c>
      <c r="N57" s="78">
        <f t="shared" si="25"/>
        <v>0</v>
      </c>
      <c r="O57" s="74">
        <f t="shared" si="25"/>
        <v>0</v>
      </c>
      <c r="P57" s="78">
        <f t="shared" si="25"/>
        <v>0</v>
      </c>
      <c r="Q57" s="74">
        <f t="shared" si="25"/>
        <v>0</v>
      </c>
      <c r="R57" s="78">
        <f t="shared" si="25"/>
        <v>0</v>
      </c>
      <c r="S57" s="78">
        <f t="shared" si="25"/>
        <v>0</v>
      </c>
      <c r="T57" s="74">
        <f t="shared" si="25"/>
        <v>0</v>
      </c>
      <c r="U57" s="67">
        <f t="shared" si="25"/>
        <v>0</v>
      </c>
      <c r="V57" s="74">
        <f t="shared" si="25"/>
        <v>0</v>
      </c>
      <c r="W57" s="74">
        <f t="shared" si="25"/>
        <v>0</v>
      </c>
      <c r="X57" s="74">
        <f t="shared" si="25"/>
        <v>0</v>
      </c>
      <c r="Y57" s="78">
        <f t="shared" si="25"/>
        <v>0</v>
      </c>
      <c r="Z57" s="74">
        <f t="shared" si="25"/>
        <v>0</v>
      </c>
      <c r="AA57" s="74">
        <f t="shared" si="25"/>
        <v>0</v>
      </c>
      <c r="AB57" s="78">
        <f t="shared" si="25"/>
        <v>0</v>
      </c>
      <c r="AC57" s="78">
        <f t="shared" si="25"/>
        <v>0</v>
      </c>
      <c r="AD57" s="75">
        <f t="shared" si="25"/>
        <v>0</v>
      </c>
      <c r="AE57" s="74">
        <f t="shared" si="25"/>
        <v>0</v>
      </c>
    </row>
    <row r="58" spans="1:31" ht="28.5" hidden="1" customHeight="1" x14ac:dyDescent="0.25">
      <c r="A58" s="207"/>
      <c r="B58" s="215"/>
      <c r="C58" s="208"/>
      <c r="D58" s="209"/>
      <c r="E58" s="182"/>
      <c r="F58" s="182"/>
      <c r="G58" s="182"/>
      <c r="H58" s="182"/>
      <c r="I58" s="182"/>
      <c r="J58" s="182"/>
      <c r="K58" s="183"/>
      <c r="L58" s="182"/>
      <c r="M58" s="210"/>
      <c r="N58" s="182"/>
      <c r="O58" s="182"/>
      <c r="P58" s="182"/>
      <c r="Q58" s="182"/>
      <c r="R58" s="182"/>
      <c r="S58" s="211"/>
      <c r="T58" s="183"/>
      <c r="U58" s="60"/>
      <c r="V58" s="184"/>
      <c r="W58" s="184"/>
      <c r="X58" s="184"/>
      <c r="Y58" s="184"/>
      <c r="Z58" s="184"/>
      <c r="AA58" s="184"/>
      <c r="AB58" s="184"/>
      <c r="AC58" s="184"/>
      <c r="AD58" s="185"/>
      <c r="AE58" s="212"/>
    </row>
    <row r="59" spans="1:31" ht="48" customHeight="1" x14ac:dyDescent="0.25">
      <c r="A59" s="192"/>
      <c r="B59" s="193" t="s">
        <v>33</v>
      </c>
      <c r="C59" s="193"/>
      <c r="D59" s="194">
        <f t="shared" ref="D59:AD59" si="26">SUM(D60:D60)</f>
        <v>0</v>
      </c>
      <c r="E59" s="194">
        <f t="shared" si="26"/>
        <v>0</v>
      </c>
      <c r="F59" s="194">
        <f t="shared" si="26"/>
        <v>0</v>
      </c>
      <c r="G59" s="195">
        <f t="shared" si="26"/>
        <v>0</v>
      </c>
      <c r="H59" s="194">
        <f t="shared" si="26"/>
        <v>0</v>
      </c>
      <c r="I59" s="195">
        <f t="shared" si="26"/>
        <v>0</v>
      </c>
      <c r="J59" s="195">
        <f t="shared" si="26"/>
        <v>0</v>
      </c>
      <c r="K59" s="196">
        <f t="shared" si="26"/>
        <v>0</v>
      </c>
      <c r="L59" s="194">
        <f t="shared" si="26"/>
        <v>0</v>
      </c>
      <c r="M59" s="194">
        <f t="shared" si="26"/>
        <v>0</v>
      </c>
      <c r="N59" s="194">
        <f t="shared" si="26"/>
        <v>0</v>
      </c>
      <c r="O59" s="194">
        <f t="shared" si="26"/>
        <v>0</v>
      </c>
      <c r="P59" s="195">
        <f t="shared" si="26"/>
        <v>0</v>
      </c>
      <c r="Q59" s="194">
        <f t="shared" si="26"/>
        <v>0</v>
      </c>
      <c r="R59" s="195">
        <f t="shared" si="26"/>
        <v>0</v>
      </c>
      <c r="S59" s="195">
        <f t="shared" si="26"/>
        <v>0</v>
      </c>
      <c r="T59" s="196">
        <f t="shared" si="26"/>
        <v>0</v>
      </c>
      <c r="U59" s="194">
        <f t="shared" si="26"/>
        <v>0</v>
      </c>
      <c r="V59" s="194">
        <f t="shared" si="26"/>
        <v>0</v>
      </c>
      <c r="W59" s="194">
        <f t="shared" si="26"/>
        <v>0</v>
      </c>
      <c r="X59" s="194">
        <f t="shared" si="26"/>
        <v>0</v>
      </c>
      <c r="Y59" s="195">
        <f t="shared" si="26"/>
        <v>0</v>
      </c>
      <c r="Z59" s="194">
        <f t="shared" si="26"/>
        <v>0</v>
      </c>
      <c r="AA59" s="194">
        <f t="shared" si="26"/>
        <v>0</v>
      </c>
      <c r="AB59" s="195">
        <f t="shared" si="26"/>
        <v>0</v>
      </c>
      <c r="AC59" s="195">
        <f t="shared" si="26"/>
        <v>0</v>
      </c>
      <c r="AD59" s="196">
        <f t="shared" si="26"/>
        <v>0</v>
      </c>
      <c r="AE59" s="110"/>
    </row>
    <row r="60" spans="1:31" ht="46.5" hidden="1" customHeight="1" x14ac:dyDescent="0.25">
      <c r="A60" s="192"/>
      <c r="B60" s="112"/>
      <c r="C60" s="112"/>
      <c r="D60" s="218"/>
      <c r="E60" s="116"/>
      <c r="F60" s="116"/>
      <c r="G60" s="114"/>
      <c r="H60" s="219"/>
      <c r="I60" s="114"/>
      <c r="J60" s="114"/>
      <c r="K60" s="115"/>
      <c r="L60" s="116"/>
      <c r="M60" s="116"/>
      <c r="N60" s="116"/>
      <c r="O60" s="116"/>
      <c r="P60" s="116"/>
      <c r="Q60" s="219"/>
      <c r="R60" s="114"/>
      <c r="S60" s="114"/>
      <c r="T60" s="115"/>
      <c r="U60" s="63"/>
      <c r="V60" s="218"/>
      <c r="W60" s="116"/>
      <c r="X60" s="116"/>
      <c r="Y60" s="114"/>
      <c r="Z60" s="116"/>
      <c r="AA60" s="116"/>
      <c r="AB60" s="114"/>
      <c r="AC60" s="114"/>
      <c r="AD60" s="115"/>
      <c r="AE60" s="31"/>
    </row>
    <row r="61" spans="1:31" ht="24" customHeight="1" x14ac:dyDescent="0.25">
      <c r="A61" s="43"/>
      <c r="B61" s="42"/>
      <c r="C61" s="8"/>
      <c r="D61" s="9"/>
      <c r="E61" s="10"/>
      <c r="F61" s="11"/>
      <c r="G61" s="22"/>
      <c r="H61" s="22"/>
      <c r="I61" s="22"/>
      <c r="J61" s="23"/>
      <c r="K61" s="24"/>
      <c r="L61" s="12"/>
      <c r="M61" s="13"/>
      <c r="N61" s="13"/>
      <c r="O61" s="7"/>
      <c r="P61" s="7"/>
      <c r="Q61" s="14"/>
      <c r="R61" s="18"/>
      <c r="S61" s="18"/>
      <c r="T61" s="18"/>
      <c r="U61" s="18"/>
      <c r="V61" s="7"/>
      <c r="W61" s="220"/>
      <c r="X61" s="221"/>
      <c r="Y61" s="42"/>
      <c r="Z61" s="42"/>
      <c r="AA61" s="42"/>
      <c r="AB61" s="42"/>
      <c r="AC61" s="42"/>
      <c r="AD61" s="42"/>
      <c r="AE61" s="18"/>
    </row>
    <row r="62" spans="1:31" ht="15.75" x14ac:dyDescent="0.25">
      <c r="A62" s="43"/>
      <c r="B62" s="42"/>
      <c r="C62" s="8"/>
      <c r="D62" s="9"/>
      <c r="E62" s="10"/>
      <c r="F62" s="11"/>
      <c r="G62" s="22"/>
      <c r="H62" s="22"/>
      <c r="I62" s="22"/>
      <c r="J62" s="23"/>
      <c r="K62" s="24"/>
      <c r="L62" s="12"/>
      <c r="M62" s="13"/>
      <c r="N62" s="13"/>
      <c r="O62" s="7"/>
      <c r="P62" s="7"/>
      <c r="Q62" s="14"/>
      <c r="R62" s="18"/>
      <c r="S62" s="18"/>
      <c r="T62" s="18"/>
      <c r="U62" s="18"/>
      <c r="V62" s="15"/>
      <c r="W62" s="6"/>
      <c r="X62" s="33"/>
      <c r="Y62" s="44"/>
      <c r="Z62" s="44"/>
      <c r="AA62" s="301" t="s">
        <v>410</v>
      </c>
      <c r="AB62" s="301"/>
      <c r="AC62" s="301"/>
      <c r="AD62" s="301"/>
      <c r="AE62" s="301"/>
    </row>
    <row r="63" spans="1:31" ht="15.75" x14ac:dyDescent="0.25">
      <c r="A63" s="43"/>
      <c r="B63" s="291" t="s">
        <v>37</v>
      </c>
      <c r="C63" s="291"/>
      <c r="D63" s="291"/>
      <c r="E63" s="291"/>
      <c r="F63" s="291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3"/>
      <c r="W63" s="291" t="s">
        <v>38</v>
      </c>
      <c r="X63" s="291"/>
      <c r="Y63" s="291"/>
      <c r="Z63" s="291"/>
      <c r="AA63" s="302" t="s">
        <v>39</v>
      </c>
      <c r="AB63" s="302"/>
      <c r="AC63" s="302"/>
      <c r="AD63" s="302"/>
      <c r="AE63" s="302"/>
    </row>
    <row r="64" spans="1:31" ht="15.75" x14ac:dyDescent="0.25">
      <c r="A64" s="43"/>
      <c r="B64" s="2"/>
      <c r="C64" s="2"/>
      <c r="D64" s="2"/>
      <c r="E64" s="2"/>
      <c r="F64" s="2"/>
      <c r="G64" s="4"/>
      <c r="H64" s="4"/>
      <c r="I64" s="2"/>
      <c r="J64" s="2"/>
      <c r="K64" s="4"/>
      <c r="L64" s="2"/>
      <c r="M64" s="2"/>
      <c r="N64" s="2"/>
      <c r="O64" s="2"/>
      <c r="P64" s="2"/>
      <c r="Q64" s="2"/>
      <c r="R64" s="2"/>
      <c r="S64" s="289"/>
      <c r="T64" s="289"/>
      <c r="U64" s="289"/>
      <c r="V64" s="25"/>
      <c r="W64" s="289"/>
      <c r="X64" s="288"/>
      <c r="Y64" s="2"/>
      <c r="Z64" s="2"/>
      <c r="AA64" s="2"/>
      <c r="AB64" s="288"/>
      <c r="AC64" s="47"/>
      <c r="AD64" s="47"/>
      <c r="AE64" s="4"/>
    </row>
    <row r="65" spans="1:31" ht="15.75" x14ac:dyDescent="0.25">
      <c r="A65" s="43"/>
      <c r="B65" s="2"/>
      <c r="C65" s="2"/>
      <c r="D65" s="2"/>
      <c r="E65" s="2"/>
      <c r="F65" s="2"/>
      <c r="G65" s="4"/>
      <c r="H65" s="4"/>
      <c r="I65" s="2"/>
      <c r="J65" s="2"/>
      <c r="K65" s="4"/>
      <c r="L65" s="2"/>
      <c r="M65" s="2"/>
      <c r="N65" s="2"/>
      <c r="O65" s="2"/>
      <c r="P65" s="2"/>
      <c r="Q65" s="2"/>
      <c r="R65" s="2"/>
      <c r="S65" s="289"/>
      <c r="T65" s="25"/>
      <c r="U65" s="25"/>
      <c r="V65" s="2"/>
      <c r="W65" s="2"/>
      <c r="X65" s="2"/>
      <c r="Y65" s="48"/>
      <c r="Z65" s="2"/>
      <c r="AA65" s="2"/>
      <c r="AB65" s="2"/>
      <c r="AC65" s="41"/>
      <c r="AD65" s="41"/>
      <c r="AE65" s="3"/>
    </row>
    <row r="66" spans="1:31" ht="15.75" x14ac:dyDescent="0.25">
      <c r="A66" s="43"/>
      <c r="B66" s="2"/>
      <c r="C66" s="2"/>
      <c r="D66" s="2"/>
      <c r="E66" s="2"/>
      <c r="F66" s="2"/>
      <c r="G66" s="4"/>
      <c r="H66" s="4"/>
      <c r="I66" s="2"/>
      <c r="J66" s="2"/>
      <c r="K66" s="4"/>
      <c r="L66" s="2"/>
      <c r="M66" s="2"/>
      <c r="N66" s="2"/>
      <c r="O66" s="2"/>
      <c r="P66" s="2"/>
      <c r="Q66" s="2"/>
      <c r="R66" s="2"/>
      <c r="S66" s="2"/>
      <c r="T66" s="25"/>
      <c r="U66" s="25"/>
      <c r="V66" s="2"/>
      <c r="W66" s="2"/>
      <c r="X66" s="2"/>
      <c r="Y66" s="48"/>
      <c r="Z66" s="2"/>
      <c r="AA66" s="2"/>
      <c r="AB66" s="2"/>
      <c r="AC66" s="41"/>
      <c r="AD66" s="41"/>
      <c r="AE66" s="3"/>
    </row>
    <row r="67" spans="1:31" ht="15.75" x14ac:dyDescent="0.25">
      <c r="A67" s="43"/>
      <c r="B67" s="2"/>
      <c r="C67" s="2"/>
      <c r="D67" s="2"/>
      <c r="E67" s="2"/>
      <c r="F67" s="2"/>
      <c r="G67" s="4"/>
      <c r="H67" s="4"/>
      <c r="I67" s="2"/>
      <c r="J67" s="2"/>
      <c r="K67" s="4"/>
      <c r="L67" s="2"/>
      <c r="M67" s="2"/>
      <c r="N67" s="2"/>
      <c r="O67" s="2"/>
      <c r="P67" s="2"/>
      <c r="Q67" s="2"/>
      <c r="R67" s="2"/>
      <c r="S67" s="2"/>
      <c r="T67" s="25"/>
      <c r="U67" s="25"/>
      <c r="V67" s="2"/>
      <c r="W67" s="2"/>
      <c r="X67" s="2"/>
      <c r="Y67" s="48"/>
      <c r="Z67" s="2"/>
      <c r="AA67" s="2"/>
      <c r="AB67" s="2"/>
      <c r="AC67" s="41"/>
      <c r="AD67" s="41"/>
      <c r="AE67" s="3"/>
    </row>
    <row r="68" spans="1:31" ht="15.75" x14ac:dyDescent="0.25">
      <c r="A68" s="43"/>
      <c r="B68" s="2"/>
      <c r="C68" s="2"/>
      <c r="D68" s="2"/>
      <c r="E68" s="2"/>
      <c r="F68" s="2"/>
      <c r="G68" s="4"/>
      <c r="H68" s="4"/>
      <c r="I68" s="2"/>
      <c r="J68" s="2"/>
      <c r="K68" s="4"/>
      <c r="L68" s="2"/>
      <c r="M68" s="2"/>
      <c r="N68" s="2"/>
      <c r="O68" s="2"/>
      <c r="P68" s="2"/>
      <c r="Q68" s="2"/>
      <c r="R68" s="2"/>
      <c r="S68" s="2"/>
      <c r="T68" s="25"/>
      <c r="U68" s="25"/>
      <c r="V68" s="2"/>
      <c r="W68" s="2"/>
      <c r="X68" s="2"/>
      <c r="Y68" s="48"/>
      <c r="Z68" s="2"/>
      <c r="AA68" s="2"/>
      <c r="AB68" s="2"/>
      <c r="AC68" s="41"/>
      <c r="AD68" s="41"/>
      <c r="AE68" s="3"/>
    </row>
    <row r="69" spans="1:31" ht="15.75" x14ac:dyDescent="0.25">
      <c r="A69" s="43"/>
      <c r="B69" s="291" t="s">
        <v>40</v>
      </c>
      <c r="C69" s="291"/>
      <c r="D69" s="291"/>
      <c r="E69" s="291"/>
      <c r="F69" s="29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"/>
      <c r="W69" s="291" t="s">
        <v>41</v>
      </c>
      <c r="X69" s="291"/>
      <c r="Y69" s="291"/>
      <c r="Z69" s="291"/>
      <c r="AA69" s="291" t="s">
        <v>42</v>
      </c>
      <c r="AB69" s="291"/>
      <c r="AC69" s="291"/>
      <c r="AD69" s="291"/>
      <c r="AE69" s="291"/>
    </row>
  </sheetData>
  <mergeCells count="20">
    <mergeCell ref="A5:AE5"/>
    <mergeCell ref="A1:U1"/>
    <mergeCell ref="AA1:AE1"/>
    <mergeCell ref="A2:U2"/>
    <mergeCell ref="AA2:AE2"/>
    <mergeCell ref="A3:U3"/>
    <mergeCell ref="B69:U69"/>
    <mergeCell ref="W69:Z69"/>
    <mergeCell ref="AA69:AE69"/>
    <mergeCell ref="A7:A8"/>
    <mergeCell ref="B7:B8"/>
    <mergeCell ref="C7:K7"/>
    <mergeCell ref="L7:T7"/>
    <mergeCell ref="U7:U8"/>
    <mergeCell ref="V7:AD7"/>
    <mergeCell ref="AE7:AE8"/>
    <mergeCell ref="AA62:AE62"/>
    <mergeCell ref="B63:U63"/>
    <mergeCell ref="W63:Z63"/>
    <mergeCell ref="AA63:AE63"/>
  </mergeCells>
  <pageMargins left="0.39370078740157483" right="0.27559055118110237" top="0.55118110236220474" bottom="0.47244094488188981" header="0.31496062992125984" footer="0.31496062992125984"/>
  <pageSetup paperSize="9" orientation="landscape" r:id="rId1"/>
  <headerFooter>
    <oddFooter>&amp;C&amp;10&amp;P/&amp;N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11</vt:i4>
      </vt:variant>
    </vt:vector>
  </HeadingPairs>
  <TitlesOfParts>
    <vt:vector size="23" baseType="lpstr">
      <vt:lpstr>T2_2019</vt:lpstr>
      <vt:lpstr>T3_2019</vt:lpstr>
      <vt:lpstr>T4_2019</vt:lpstr>
      <vt:lpstr>T5_2019</vt:lpstr>
      <vt:lpstr>T6_2019</vt:lpstr>
      <vt:lpstr>T7_2019</vt:lpstr>
      <vt:lpstr>T8_2019</vt:lpstr>
      <vt:lpstr>T9_2019</vt:lpstr>
      <vt:lpstr>T10_2019</vt:lpstr>
      <vt:lpstr>T11_2019 </vt:lpstr>
      <vt:lpstr>T12_2019</vt:lpstr>
      <vt:lpstr>Sheet1</vt:lpstr>
      <vt:lpstr>T10_2019!Print_Titles</vt:lpstr>
      <vt:lpstr>'T11_2019 '!Print_Titles</vt:lpstr>
      <vt:lpstr>T12_2019!Print_Titles</vt:lpstr>
      <vt:lpstr>T2_2019!Print_Titles</vt:lpstr>
      <vt:lpstr>T3_2019!Print_Titles</vt:lpstr>
      <vt:lpstr>T4_2019!Print_Titles</vt:lpstr>
      <vt:lpstr>T5_2019!Print_Titles</vt:lpstr>
      <vt:lpstr>T6_2019!Print_Titles</vt:lpstr>
      <vt:lpstr>T7_2019!Print_Titles</vt:lpstr>
      <vt:lpstr>T8_2019!Print_Titles</vt:lpstr>
      <vt:lpstr>T9_2019!Print_Titles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cp:lastPrinted>2019-11-02T02:48:39Z</cp:lastPrinted>
  <dcterms:created xsi:type="dcterms:W3CDTF">2019-01-31T08:43:27Z</dcterms:created>
  <dcterms:modified xsi:type="dcterms:W3CDTF">2019-12-02T14:39:27Z</dcterms:modified>
</cp:coreProperties>
</file>